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3\Fichier de base pour site internet\Fichier de base pour site internet\"/>
    </mc:Choice>
  </mc:AlternateContent>
  <bookViews>
    <workbookView xWindow="0" yWindow="0" windowWidth="28800" windowHeight="12375" firstSheet="52" activeTab="52"/>
  </bookViews>
  <sheets>
    <sheet name="Sommaire" sheetId="47" state="hidden" r:id="rId1"/>
    <sheet name="Base de données pop." sheetId="13" state="hidden" r:id="rId2"/>
    <sheet name="Population" sheetId="1" state="hidden" r:id="rId3"/>
    <sheet name="4.1 Comptes 2023 natures" sheetId="23" state="hidden" r:id="rId4"/>
    <sheet name="Graphique par nature" sheetId="80" state="hidden" r:id="rId5"/>
    <sheet name="Résultats par commune" sheetId="79" state="hidden" r:id="rId6"/>
    <sheet name="4.9 Comptes 2023 par habitant" sheetId="29" state="hidden" r:id="rId7"/>
    <sheet name="4.2 Comptes 2023 par commune" sheetId="48" state="hidden" r:id="rId8"/>
    <sheet name="4.10 Comptes 2023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3 fonctionnelle" sheetId="22" state="hidden" r:id="rId16"/>
    <sheet name="4.12 Fonctionnelle par commune" sheetId="50" state="hidden" r:id="rId17"/>
    <sheet name="Tableau fonctionnelle" sheetId="30" state="hidden" r:id="rId18"/>
    <sheet name="4.12.1 et 2 Graph par fonction" sheetId="81" state="hidden" r:id="rId19"/>
    <sheet name="5. Bilan 2023"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3" sheetId="55" state="hidden" r:id="rId39"/>
    <sheet name="Comptes 2023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3" sheetId="69" r:id="rId53"/>
    <sheet name="Comptes 2023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I6" i="32" l="1"/>
  <c r="J6" i="32"/>
  <c r="O3" i="34"/>
  <c r="BH3" i="24"/>
  <c r="AK3" i="24"/>
  <c r="Y3" i="24"/>
  <c r="AS3" i="22" l="1"/>
  <c r="AO3" i="22"/>
  <c r="AD3" i="22"/>
  <c r="I3" i="22"/>
  <c r="C6" i="1" l="1"/>
  <c r="BG180" i="23" l="1"/>
  <c r="BG181" i="23"/>
  <c r="BG182" i="23"/>
  <c r="BG184" i="23"/>
  <c r="BG185" i="23"/>
  <c r="BG186" i="23"/>
  <c r="BG187" i="23"/>
  <c r="BG189" i="23"/>
  <c r="BG191" i="23"/>
  <c r="BG179" i="23"/>
  <c r="BF180" i="23"/>
  <c r="BF181" i="23"/>
  <c r="BF182" i="23"/>
  <c r="BF184" i="23"/>
  <c r="BF185" i="23"/>
  <c r="BF186" i="23"/>
  <c r="BF187" i="23"/>
  <c r="BF189" i="23"/>
  <c r="BF191" i="23"/>
  <c r="BF179" i="23"/>
  <c r="BE180" i="23"/>
  <c r="BE181" i="23"/>
  <c r="BE182" i="23"/>
  <c r="BE184" i="23"/>
  <c r="BE185" i="23"/>
  <c r="BE186" i="23"/>
  <c r="BE187" i="23"/>
  <c r="BE189" i="23"/>
  <c r="BE191" i="23"/>
  <c r="BE179" i="23"/>
  <c r="BD180" i="23"/>
  <c r="BD181" i="23"/>
  <c r="BD182" i="23"/>
  <c r="BD184" i="23"/>
  <c r="BD185" i="23"/>
  <c r="BD186" i="23"/>
  <c r="BD187" i="23"/>
  <c r="BD189" i="23"/>
  <c r="BD191" i="23"/>
  <c r="BD179" i="23"/>
  <c r="T158" i="69" l="1"/>
  <c r="T154" i="69"/>
  <c r="T141" i="69"/>
  <c r="T132" i="69"/>
  <c r="T129" i="69"/>
  <c r="T122" i="69"/>
  <c r="T118" i="69"/>
  <c r="T106" i="69"/>
  <c r="T100" i="69"/>
  <c r="T89" i="69"/>
  <c r="T83" i="69"/>
  <c r="T77" i="69"/>
  <c r="T76" i="69" s="1"/>
  <c r="T65" i="69"/>
  <c r="T57" i="69"/>
  <c r="T54" i="69"/>
  <c r="T44" i="69"/>
  <c r="T40" i="69"/>
  <c r="T32" i="69"/>
  <c r="T28" i="69"/>
  <c r="T16" i="69"/>
  <c r="T6" i="69"/>
  <c r="T5" i="69" s="1"/>
  <c r="I231" i="63" l="1"/>
  <c r="J231" i="63"/>
  <c r="L231" i="63"/>
  <c r="M231" i="63"/>
  <c r="O231" i="63"/>
  <c r="P231" i="63"/>
  <c r="Q231" i="63"/>
  <c r="G230" i="63"/>
  <c r="H230" i="63"/>
  <c r="I230" i="63"/>
  <c r="J230" i="63"/>
  <c r="K230" i="63"/>
  <c r="L230" i="63"/>
  <c r="M230" i="63"/>
  <c r="N230" i="63"/>
  <c r="O230" i="63"/>
  <c r="P230" i="63"/>
  <c r="Q230" i="63"/>
  <c r="R230" i="63"/>
  <c r="I229" i="63"/>
  <c r="J229" i="63"/>
  <c r="L229" i="63"/>
  <c r="M229" i="63"/>
  <c r="O229" i="63"/>
  <c r="P229" i="63"/>
  <c r="Q229" i="63"/>
  <c r="F231" i="63"/>
  <c r="F230" i="63"/>
  <c r="F229" i="63"/>
  <c r="G232" i="24"/>
  <c r="H232" i="24"/>
  <c r="I232" i="24"/>
  <c r="J232" i="24"/>
  <c r="K232" i="24"/>
  <c r="L232" i="24"/>
  <c r="M232" i="24"/>
  <c r="N232" i="24"/>
  <c r="O232" i="24"/>
  <c r="P232" i="24"/>
  <c r="Q232" i="24"/>
  <c r="R232" i="24"/>
  <c r="S232" i="24"/>
  <c r="T232" i="24"/>
  <c r="U232" i="24"/>
  <c r="V232" i="24"/>
  <c r="W232" i="24"/>
  <c r="X232" i="24"/>
  <c r="Y232" i="24"/>
  <c r="Z232" i="24"/>
  <c r="AA232" i="24"/>
  <c r="AB232" i="24"/>
  <c r="AC232" i="24"/>
  <c r="AD232" i="24"/>
  <c r="AE232" i="24"/>
  <c r="AF232" i="24"/>
  <c r="AG232" i="24"/>
  <c r="AH232" i="24"/>
  <c r="AI232" i="24"/>
  <c r="AJ232" i="24"/>
  <c r="AK232" i="24"/>
  <c r="AL232" i="24"/>
  <c r="AM232" i="24"/>
  <c r="AN232" i="24"/>
  <c r="AP232" i="24"/>
  <c r="AQ232" i="24"/>
  <c r="AR232" i="24"/>
  <c r="AT232" i="24"/>
  <c r="AV232" i="24"/>
  <c r="AW232" i="24"/>
  <c r="AX232" i="24"/>
  <c r="AY232" i="24"/>
  <c r="AZ232" i="24"/>
  <c r="BA232" i="24"/>
  <c r="BB232" i="24"/>
  <c r="BC232" i="24"/>
  <c r="BD232" i="24"/>
  <c r="BF232" i="24"/>
  <c r="BG232" i="24"/>
  <c r="G231" i="24"/>
  <c r="H231" i="24"/>
  <c r="I231" i="24"/>
  <c r="J231" i="24"/>
  <c r="K231" i="24"/>
  <c r="L231" i="24"/>
  <c r="M231" i="24"/>
  <c r="N231" i="24"/>
  <c r="O231" i="24"/>
  <c r="P231" i="24"/>
  <c r="Q231" i="24"/>
  <c r="R231" i="24"/>
  <c r="S231" i="24"/>
  <c r="T231" i="24"/>
  <c r="U231" i="24"/>
  <c r="V231" i="24"/>
  <c r="W231" i="24"/>
  <c r="X231" i="24"/>
  <c r="Y231" i="24"/>
  <c r="Z231" i="24"/>
  <c r="AA231" i="24"/>
  <c r="AB231" i="24"/>
  <c r="AC231" i="24"/>
  <c r="AD231" i="24"/>
  <c r="AE231" i="24"/>
  <c r="AF231" i="24"/>
  <c r="AG231" i="24"/>
  <c r="AH231" i="24"/>
  <c r="AI231" i="24"/>
  <c r="AJ231" i="24"/>
  <c r="AK231" i="24"/>
  <c r="AL231" i="24"/>
  <c r="AM231" i="24"/>
  <c r="AN231" i="24"/>
  <c r="AO231" i="24"/>
  <c r="AP231" i="24"/>
  <c r="AQ231" i="24"/>
  <c r="AR231" i="24"/>
  <c r="AS231" i="24"/>
  <c r="AT231" i="24"/>
  <c r="AU231" i="24"/>
  <c r="AV231" i="24"/>
  <c r="AW231" i="24"/>
  <c r="AX231" i="24"/>
  <c r="AY231" i="24"/>
  <c r="AZ231" i="24"/>
  <c r="BA231" i="24"/>
  <c r="BB231" i="24"/>
  <c r="BC231" i="24"/>
  <c r="BD231" i="24"/>
  <c r="BF231" i="24"/>
  <c r="BG231" i="24"/>
  <c r="G230" i="24"/>
  <c r="H230" i="24"/>
  <c r="I230" i="24"/>
  <c r="J230" i="24"/>
  <c r="K230" i="24"/>
  <c r="L230" i="24"/>
  <c r="M230" i="24"/>
  <c r="N230" i="24"/>
  <c r="O230" i="24"/>
  <c r="P230" i="24"/>
  <c r="Q230" i="24"/>
  <c r="R230" i="24"/>
  <c r="S230" i="24"/>
  <c r="T230" i="24"/>
  <c r="U230" i="24"/>
  <c r="V230" i="24"/>
  <c r="W230" i="24"/>
  <c r="X230" i="24"/>
  <c r="Y230" i="24"/>
  <c r="Z230" i="24"/>
  <c r="AA230" i="24"/>
  <c r="AB230" i="24"/>
  <c r="AC230" i="24"/>
  <c r="AD230" i="24"/>
  <c r="AE230" i="24"/>
  <c r="AF230" i="24"/>
  <c r="AG230" i="24"/>
  <c r="AH230" i="24"/>
  <c r="AI230" i="24"/>
  <c r="AJ230" i="24"/>
  <c r="AK230" i="24"/>
  <c r="AL230" i="24"/>
  <c r="AM230" i="24"/>
  <c r="AN230" i="24"/>
  <c r="AP230" i="24"/>
  <c r="AQ230" i="24"/>
  <c r="AR230" i="24"/>
  <c r="AT230" i="24"/>
  <c r="AV230" i="24"/>
  <c r="AW230" i="24"/>
  <c r="AX230" i="24"/>
  <c r="AY230" i="24"/>
  <c r="AZ230" i="24"/>
  <c r="BA230" i="24"/>
  <c r="BB230" i="24"/>
  <c r="BC230" i="24"/>
  <c r="BD230" i="24"/>
  <c r="BF230" i="24"/>
  <c r="BG230" i="24"/>
  <c r="F232" i="24"/>
  <c r="F231" i="24"/>
  <c r="F230" i="24"/>
  <c r="BF165" i="29" l="1"/>
  <c r="BF161" i="29"/>
  <c r="BF158" i="29"/>
  <c r="BF156" i="29"/>
  <c r="BF155" i="29"/>
  <c r="BF149" i="29"/>
  <c r="BF148" i="29"/>
  <c r="BF147" i="29"/>
  <c r="BF146" i="29"/>
  <c r="BF145" i="29"/>
  <c r="BF144" i="29"/>
  <c r="BF143" i="29"/>
  <c r="BF142" i="29"/>
  <c r="BF139" i="29"/>
  <c r="BF138" i="29"/>
  <c r="BF137" i="29"/>
  <c r="BF136" i="29"/>
  <c r="BF135" i="29"/>
  <c r="BF134" i="29"/>
  <c r="BF133" i="29"/>
  <c r="BF130" i="29"/>
  <c r="BF127" i="29"/>
  <c r="BF126" i="29"/>
  <c r="BF125" i="29"/>
  <c r="BF124" i="29"/>
  <c r="BF123" i="29"/>
  <c r="BF120" i="29"/>
  <c r="BF119" i="29"/>
  <c r="BF116" i="29"/>
  <c r="BF115" i="29"/>
  <c r="BF114" i="29"/>
  <c r="BF113" i="29"/>
  <c r="BF112" i="29"/>
  <c r="BF111" i="29"/>
  <c r="BF110" i="29"/>
  <c r="BF109" i="29"/>
  <c r="BF108" i="29"/>
  <c r="BF107" i="29"/>
  <c r="BF104" i="29"/>
  <c r="BF103" i="29"/>
  <c r="BF102" i="29"/>
  <c r="BF101" i="29"/>
  <c r="BF96" i="29"/>
  <c r="BF95" i="29"/>
  <c r="BF94" i="29"/>
  <c r="BF93" i="29"/>
  <c r="BF92" i="29"/>
  <c r="BF91" i="29"/>
  <c r="BF90" i="29"/>
  <c r="BF84" i="29"/>
  <c r="BF81" i="29"/>
  <c r="BF80" i="29"/>
  <c r="BF79" i="29"/>
  <c r="BF78" i="29"/>
  <c r="W191" i="75" l="1"/>
  <c r="W69" i="75"/>
  <c r="AZ99" i="34" l="1"/>
  <c r="AZ191" i="24" l="1"/>
  <c r="N153" i="24" l="1"/>
  <c r="J62" i="24" l="1"/>
  <c r="BF47" i="24" l="1"/>
  <c r="BD55" i="42" l="1"/>
  <c r="BE55" i="42"/>
  <c r="BF55" i="42"/>
  <c r="BG55" i="42"/>
  <c r="F55" i="42"/>
  <c r="G55" i="42"/>
  <c r="H55" i="42"/>
  <c r="I55" i="42"/>
  <c r="J55" i="42"/>
  <c r="K55" i="42"/>
  <c r="L55" i="42"/>
  <c r="M55" i="42"/>
  <c r="N55" i="42"/>
  <c r="O55" i="42"/>
  <c r="P55" i="42"/>
  <c r="Q55" i="42"/>
  <c r="R55" i="42"/>
  <c r="S55" i="42"/>
  <c r="T55" i="42"/>
  <c r="U55" i="42"/>
  <c r="V55" i="42"/>
  <c r="W55" i="42"/>
  <c r="X55" i="42"/>
  <c r="Y55" i="42"/>
  <c r="Z55" i="42"/>
  <c r="AA55" i="42"/>
  <c r="AB55" i="42"/>
  <c r="AC55" i="42"/>
  <c r="AD55" i="42"/>
  <c r="AE55" i="42"/>
  <c r="AF55" i="42"/>
  <c r="AG55" i="42"/>
  <c r="AH55" i="42"/>
  <c r="AI55" i="42"/>
  <c r="AJ55" i="42"/>
  <c r="AK55" i="42"/>
  <c r="AL55" i="42"/>
  <c r="AM55" i="42"/>
  <c r="AN55" i="42"/>
  <c r="AO55" i="42"/>
  <c r="AP55" i="42"/>
  <c r="AQ55" i="42"/>
  <c r="AR55" i="42"/>
  <c r="AS55" i="42"/>
  <c r="AT55" i="42"/>
  <c r="AU55" i="42"/>
  <c r="AV55" i="42"/>
  <c r="AW55" i="42"/>
  <c r="AX55" i="42"/>
  <c r="AY55" i="42"/>
  <c r="AZ55" i="42"/>
  <c r="BA55" i="42"/>
  <c r="BB55" i="42"/>
  <c r="BC55" i="42"/>
  <c r="E55" i="42"/>
  <c r="F12" i="1" l="1"/>
  <c r="BD135" i="34" l="1"/>
  <c r="BG135" i="34"/>
  <c r="F52" i="42" l="1"/>
  <c r="G52" i="42"/>
  <c r="H52" i="42"/>
  <c r="I52" i="42"/>
  <c r="J52" i="42"/>
  <c r="K52" i="42"/>
  <c r="L52" i="42"/>
  <c r="M52" i="42"/>
  <c r="N52" i="42"/>
  <c r="O52" i="42"/>
  <c r="P52" i="42"/>
  <c r="Q52" i="42"/>
  <c r="R52" i="42"/>
  <c r="S52" i="42"/>
  <c r="T52" i="42"/>
  <c r="U52" i="42"/>
  <c r="V52" i="42"/>
  <c r="W52" i="42"/>
  <c r="X52" i="42"/>
  <c r="Y52" i="42"/>
  <c r="Z52" i="42"/>
  <c r="AA52" i="42"/>
  <c r="AB52" i="42"/>
  <c r="AC52" i="42"/>
  <c r="AD52" i="42"/>
  <c r="AE52" i="42"/>
  <c r="AF52" i="42"/>
  <c r="AG52" i="42"/>
  <c r="AH52" i="42"/>
  <c r="AI52" i="42"/>
  <c r="AJ52" i="42"/>
  <c r="AK52" i="42"/>
  <c r="AL52" i="42"/>
  <c r="AM52" i="42"/>
  <c r="AN52" i="42"/>
  <c r="AO52" i="42"/>
  <c r="AP52" i="42"/>
  <c r="AQ52" i="42"/>
  <c r="AR52" i="42"/>
  <c r="AS52" i="42"/>
  <c r="AT52" i="42"/>
  <c r="AU52" i="42"/>
  <c r="AV52" i="42"/>
  <c r="AW52" i="42"/>
  <c r="AX52" i="42"/>
  <c r="AY52" i="42"/>
  <c r="AZ52" i="42"/>
  <c r="BA52" i="42"/>
  <c r="BB52" i="42"/>
  <c r="BC52" i="42"/>
  <c r="BD52" i="42"/>
  <c r="BE52" i="42"/>
  <c r="BF52" i="42"/>
  <c r="BG52" i="42"/>
  <c r="E52" i="42"/>
  <c r="F51" i="42"/>
  <c r="G51" i="42"/>
  <c r="H51" i="42"/>
  <c r="I51" i="42"/>
  <c r="J51" i="42"/>
  <c r="K51" i="42"/>
  <c r="L51" i="42"/>
  <c r="M51" i="42"/>
  <c r="N51" i="42"/>
  <c r="O51" i="42"/>
  <c r="P51" i="42"/>
  <c r="Q51" i="42"/>
  <c r="R51" i="42"/>
  <c r="S51" i="42"/>
  <c r="T51" i="42"/>
  <c r="U51" i="42"/>
  <c r="V51" i="42"/>
  <c r="W51" i="42"/>
  <c r="X51" i="42"/>
  <c r="Y51" i="42"/>
  <c r="Z51" i="42"/>
  <c r="AA51" i="42"/>
  <c r="AB51" i="42"/>
  <c r="AC51" i="42"/>
  <c r="AD51" i="42"/>
  <c r="AE51" i="42"/>
  <c r="AF51" i="42"/>
  <c r="AG51" i="42"/>
  <c r="AH51" i="42"/>
  <c r="AI51" i="42"/>
  <c r="AJ51" i="42"/>
  <c r="AK51" i="42"/>
  <c r="AL51" i="42"/>
  <c r="AM51" i="42"/>
  <c r="AN51" i="42"/>
  <c r="AO51" i="42"/>
  <c r="AP51" i="42"/>
  <c r="AQ51" i="42"/>
  <c r="AR51" i="42"/>
  <c r="AS51" i="42"/>
  <c r="AT51" i="42"/>
  <c r="AU51" i="42"/>
  <c r="AV51" i="42"/>
  <c r="AW51" i="42"/>
  <c r="AX51" i="42"/>
  <c r="AY51" i="42"/>
  <c r="AZ51" i="42"/>
  <c r="BA51" i="42"/>
  <c r="BB51" i="42"/>
  <c r="BC51" i="42"/>
  <c r="E51" i="42"/>
  <c r="F49" i="42"/>
  <c r="G49" i="42"/>
  <c r="H49" i="42"/>
  <c r="I49" i="42"/>
  <c r="J49" i="42"/>
  <c r="K49" i="42"/>
  <c r="L49" i="42"/>
  <c r="M49" i="42"/>
  <c r="N49" i="42"/>
  <c r="O49" i="42"/>
  <c r="P49" i="42"/>
  <c r="Q49" i="42"/>
  <c r="R49" i="42"/>
  <c r="S49" i="42"/>
  <c r="T49" i="42"/>
  <c r="U49" i="42"/>
  <c r="V49" i="42"/>
  <c r="W49" i="42"/>
  <c r="X49" i="42"/>
  <c r="Y49" i="42"/>
  <c r="Z49" i="42"/>
  <c r="AA49" i="42"/>
  <c r="AB49" i="42"/>
  <c r="AC49" i="42"/>
  <c r="AD49" i="42"/>
  <c r="AE49" i="42"/>
  <c r="AF49" i="42"/>
  <c r="AG49" i="42"/>
  <c r="AH49" i="42"/>
  <c r="AI49" i="42"/>
  <c r="AJ49" i="42"/>
  <c r="AK49" i="42"/>
  <c r="AL49" i="42"/>
  <c r="AM49" i="42"/>
  <c r="AN49" i="42"/>
  <c r="AO49" i="42"/>
  <c r="AP49" i="42"/>
  <c r="AQ49" i="42"/>
  <c r="AR49" i="42"/>
  <c r="AS49" i="42"/>
  <c r="AT49" i="42"/>
  <c r="AU49" i="42"/>
  <c r="AV49" i="42"/>
  <c r="AW49" i="42"/>
  <c r="AX49" i="42"/>
  <c r="AY49" i="42"/>
  <c r="AZ49" i="42"/>
  <c r="BA49" i="42"/>
  <c r="BB49" i="42"/>
  <c r="BC49" i="42"/>
  <c r="BD49" i="42"/>
  <c r="BE49" i="42"/>
  <c r="BF49" i="42"/>
  <c r="BG49" i="42"/>
  <c r="E49" i="42"/>
  <c r="F48" i="42"/>
  <c r="G48" i="42"/>
  <c r="H48" i="42"/>
  <c r="I48" i="42"/>
  <c r="J48" i="42"/>
  <c r="K48" i="42"/>
  <c r="L48" i="42"/>
  <c r="M48" i="42"/>
  <c r="N48" i="42"/>
  <c r="O48" i="42"/>
  <c r="P48" i="42"/>
  <c r="Q48" i="42"/>
  <c r="R48" i="42"/>
  <c r="S48" i="42"/>
  <c r="T48" i="42"/>
  <c r="U48" i="42"/>
  <c r="V48" i="42"/>
  <c r="W48" i="42"/>
  <c r="X48" i="42"/>
  <c r="Y48" i="42"/>
  <c r="Z48" i="42"/>
  <c r="AA48" i="42"/>
  <c r="AB48" i="42"/>
  <c r="AC48" i="42"/>
  <c r="AD48" i="42"/>
  <c r="AE48" i="42"/>
  <c r="AF48" i="42"/>
  <c r="AG48" i="42"/>
  <c r="AH48" i="42"/>
  <c r="AI48" i="42"/>
  <c r="AJ48" i="42"/>
  <c r="AK48" i="42"/>
  <c r="AL48" i="42"/>
  <c r="AM48" i="42"/>
  <c r="AN48" i="42"/>
  <c r="AO48" i="42"/>
  <c r="AP48" i="42"/>
  <c r="AQ48" i="42"/>
  <c r="AR48" i="42"/>
  <c r="AS48" i="42"/>
  <c r="AT48" i="42"/>
  <c r="AU48" i="42"/>
  <c r="AV48" i="42"/>
  <c r="AW48" i="42"/>
  <c r="AX48" i="42"/>
  <c r="AY48" i="42"/>
  <c r="AZ48" i="42"/>
  <c r="BA48" i="42"/>
  <c r="BB48" i="42"/>
  <c r="BC48" i="42"/>
  <c r="BD48" i="42"/>
  <c r="BE48" i="42"/>
  <c r="BF48" i="42"/>
  <c r="BG48" i="42"/>
  <c r="E48" i="42"/>
  <c r="F46" i="42"/>
  <c r="G46" i="42"/>
  <c r="H46" i="42"/>
  <c r="I46" i="42"/>
  <c r="J46" i="42"/>
  <c r="K46" i="42"/>
  <c r="L46" i="42"/>
  <c r="M46" i="42"/>
  <c r="N46" i="42"/>
  <c r="O46" i="42"/>
  <c r="P46" i="42"/>
  <c r="Q46" i="42"/>
  <c r="R46" i="42"/>
  <c r="S46" i="42"/>
  <c r="T46" i="42"/>
  <c r="U46" i="42"/>
  <c r="V46" i="42"/>
  <c r="W46" i="42"/>
  <c r="X46" i="42"/>
  <c r="Y46" i="42"/>
  <c r="Z46" i="42"/>
  <c r="AA46" i="42"/>
  <c r="AB46" i="42"/>
  <c r="AC46" i="42"/>
  <c r="AD46" i="42"/>
  <c r="AE46" i="42"/>
  <c r="AF46" i="42"/>
  <c r="AG46" i="42"/>
  <c r="AH46" i="42"/>
  <c r="AI46" i="42"/>
  <c r="AJ46" i="42"/>
  <c r="AK46" i="42"/>
  <c r="AL46" i="42"/>
  <c r="AM46" i="42"/>
  <c r="AN46" i="42"/>
  <c r="AO46" i="42"/>
  <c r="AP46" i="42"/>
  <c r="AQ46" i="42"/>
  <c r="AR46" i="42"/>
  <c r="AS46" i="42"/>
  <c r="AT46" i="42"/>
  <c r="AU46" i="42"/>
  <c r="AV46" i="42"/>
  <c r="AW46" i="42"/>
  <c r="AX46" i="42"/>
  <c r="AY46" i="42"/>
  <c r="AZ46" i="42"/>
  <c r="BA46" i="42"/>
  <c r="BB46" i="42"/>
  <c r="BC46" i="42"/>
  <c r="BD46" i="42"/>
  <c r="BE46" i="42"/>
  <c r="BF46" i="42"/>
  <c r="BG46" i="42"/>
  <c r="E46" i="42"/>
  <c r="F45" i="42"/>
  <c r="G45" i="42"/>
  <c r="H45" i="42"/>
  <c r="I45" i="42"/>
  <c r="J45" i="42"/>
  <c r="K45" i="42"/>
  <c r="L45" i="42"/>
  <c r="M45" i="42"/>
  <c r="N45" i="42"/>
  <c r="O45" i="42"/>
  <c r="P45" i="42"/>
  <c r="Q45" i="42"/>
  <c r="R45" i="42"/>
  <c r="S45" i="42"/>
  <c r="T45" i="42"/>
  <c r="U45" i="42"/>
  <c r="V45" i="42"/>
  <c r="W45" i="42"/>
  <c r="X45" i="42"/>
  <c r="Y45" i="42"/>
  <c r="Z45" i="42"/>
  <c r="AA45" i="42"/>
  <c r="AB45" i="42"/>
  <c r="AC45" i="42"/>
  <c r="AD45" i="42"/>
  <c r="AE45" i="42"/>
  <c r="AF45" i="42"/>
  <c r="AG45" i="42"/>
  <c r="AH45" i="42"/>
  <c r="AI45" i="42"/>
  <c r="AJ45" i="42"/>
  <c r="AK45" i="42"/>
  <c r="AL45" i="42"/>
  <c r="AM45" i="42"/>
  <c r="AN45" i="42"/>
  <c r="AO45" i="42"/>
  <c r="AP45" i="42"/>
  <c r="AQ45" i="42"/>
  <c r="AR45" i="42"/>
  <c r="AS45" i="42"/>
  <c r="AT45" i="42"/>
  <c r="AU45" i="42"/>
  <c r="AV45" i="42"/>
  <c r="AW45" i="42"/>
  <c r="AX45" i="42"/>
  <c r="AY45" i="42"/>
  <c r="AZ45" i="42"/>
  <c r="BA45" i="42"/>
  <c r="BB45" i="42"/>
  <c r="BC45" i="42"/>
  <c r="E45" i="42"/>
  <c r="F44" i="42"/>
  <c r="G44" i="42"/>
  <c r="H44" i="42"/>
  <c r="I44" i="42"/>
  <c r="J44" i="42"/>
  <c r="K44" i="42"/>
  <c r="L44" i="42"/>
  <c r="M44" i="42"/>
  <c r="N44" i="42"/>
  <c r="O44" i="42"/>
  <c r="P44" i="42"/>
  <c r="Q44" i="42"/>
  <c r="R44" i="42"/>
  <c r="S44" i="42"/>
  <c r="T44" i="42"/>
  <c r="U44" i="42"/>
  <c r="V44" i="42"/>
  <c r="W44" i="42"/>
  <c r="X44" i="42"/>
  <c r="Y44" i="42"/>
  <c r="Z44" i="42"/>
  <c r="AA44" i="42"/>
  <c r="AB44" i="42"/>
  <c r="AC44" i="42"/>
  <c r="AD44" i="42"/>
  <c r="AE44" i="42"/>
  <c r="AF44" i="42"/>
  <c r="AG44" i="42"/>
  <c r="AH44" i="42"/>
  <c r="AI44" i="42"/>
  <c r="AJ44" i="42"/>
  <c r="AK44" i="42"/>
  <c r="AL44" i="42"/>
  <c r="AM44" i="42"/>
  <c r="AN44" i="42"/>
  <c r="AO44" i="42"/>
  <c r="AP44" i="42"/>
  <c r="AQ44" i="42"/>
  <c r="AR44" i="42"/>
  <c r="AS44" i="42"/>
  <c r="AT44" i="42"/>
  <c r="AU44" i="42"/>
  <c r="AV44" i="42"/>
  <c r="AW44" i="42"/>
  <c r="AX44" i="42"/>
  <c r="AY44" i="42"/>
  <c r="AZ44" i="42"/>
  <c r="BA44" i="42"/>
  <c r="BB44" i="42"/>
  <c r="BC44" i="42"/>
  <c r="E44" i="42"/>
  <c r="F43" i="42"/>
  <c r="G43" i="42"/>
  <c r="H43" i="42"/>
  <c r="I43" i="42"/>
  <c r="J43" i="42"/>
  <c r="K43" i="42"/>
  <c r="L43" i="42"/>
  <c r="M43" i="42"/>
  <c r="N43" i="42"/>
  <c r="O43" i="42"/>
  <c r="P43" i="42"/>
  <c r="Q43" i="42"/>
  <c r="R43" i="42"/>
  <c r="S43" i="42"/>
  <c r="T43" i="42"/>
  <c r="U43" i="42"/>
  <c r="V43" i="42"/>
  <c r="W43" i="42"/>
  <c r="X43" i="42"/>
  <c r="Y43" i="42"/>
  <c r="Z43" i="42"/>
  <c r="AA43" i="42"/>
  <c r="AB43" i="42"/>
  <c r="AC43" i="42"/>
  <c r="AD43" i="42"/>
  <c r="AE43" i="42"/>
  <c r="AF43" i="42"/>
  <c r="AG43" i="42"/>
  <c r="AH43" i="42"/>
  <c r="AI43" i="42"/>
  <c r="AJ43" i="42"/>
  <c r="AK43" i="42"/>
  <c r="AL43" i="42"/>
  <c r="AM43" i="42"/>
  <c r="AN43" i="42"/>
  <c r="AO43" i="42"/>
  <c r="AP43" i="42"/>
  <c r="AQ43" i="42"/>
  <c r="AR43" i="42"/>
  <c r="AS43" i="42"/>
  <c r="AT43" i="42"/>
  <c r="AU43" i="42"/>
  <c r="AV43" i="42"/>
  <c r="AW43" i="42"/>
  <c r="AX43" i="42"/>
  <c r="AY43" i="42"/>
  <c r="AZ43" i="42"/>
  <c r="BA43" i="42"/>
  <c r="BB43" i="42"/>
  <c r="BC43" i="42"/>
  <c r="E43" i="42"/>
  <c r="F42" i="42"/>
  <c r="G42" i="42"/>
  <c r="H42" i="42"/>
  <c r="I42" i="42"/>
  <c r="J42" i="42"/>
  <c r="K42" i="42"/>
  <c r="L42" i="42"/>
  <c r="M42" i="42"/>
  <c r="N42" i="42"/>
  <c r="O42" i="42"/>
  <c r="P42" i="42"/>
  <c r="Q42" i="42"/>
  <c r="R42" i="42"/>
  <c r="S42" i="42"/>
  <c r="T42" i="42"/>
  <c r="U42" i="42"/>
  <c r="V42" i="42"/>
  <c r="W42" i="42"/>
  <c r="X42" i="42"/>
  <c r="Y42" i="42"/>
  <c r="Z42" i="42"/>
  <c r="AA42" i="42"/>
  <c r="AB42" i="42"/>
  <c r="AC42" i="42"/>
  <c r="AD42" i="42"/>
  <c r="AE42" i="42"/>
  <c r="AF42" i="42"/>
  <c r="AG42" i="42"/>
  <c r="AH42" i="42"/>
  <c r="AI42" i="42"/>
  <c r="AJ42" i="42"/>
  <c r="AK42" i="42"/>
  <c r="AL42" i="42"/>
  <c r="AM42" i="42"/>
  <c r="AN42" i="42"/>
  <c r="AO42" i="42"/>
  <c r="AP42" i="42"/>
  <c r="AQ42" i="42"/>
  <c r="AR42" i="42"/>
  <c r="AS42" i="42"/>
  <c r="AT42" i="42"/>
  <c r="AU42" i="42"/>
  <c r="AV42" i="42"/>
  <c r="AW42" i="42"/>
  <c r="AX42" i="42"/>
  <c r="AY42" i="42"/>
  <c r="AZ42" i="42"/>
  <c r="BA42" i="42"/>
  <c r="BB42" i="42"/>
  <c r="BC42" i="42"/>
  <c r="E42" i="42"/>
  <c r="F41" i="42"/>
  <c r="G41" i="42"/>
  <c r="H41" i="42"/>
  <c r="I41" i="42"/>
  <c r="J41" i="42"/>
  <c r="K41" i="42"/>
  <c r="L41" i="42"/>
  <c r="M41" i="42"/>
  <c r="N41" i="42"/>
  <c r="O41" i="42"/>
  <c r="P41" i="42"/>
  <c r="Q41" i="42"/>
  <c r="R41" i="42"/>
  <c r="S41" i="42"/>
  <c r="T41" i="42"/>
  <c r="U41" i="42"/>
  <c r="V41" i="42"/>
  <c r="W41" i="42"/>
  <c r="X41" i="42"/>
  <c r="Y41" i="42"/>
  <c r="Z41" i="42"/>
  <c r="AA41" i="42"/>
  <c r="AB41" i="42"/>
  <c r="AC41" i="42"/>
  <c r="AD41" i="42"/>
  <c r="AE41" i="42"/>
  <c r="AF41" i="42"/>
  <c r="AG41" i="42"/>
  <c r="AH41" i="42"/>
  <c r="AI41" i="42"/>
  <c r="AJ41" i="42"/>
  <c r="AK41" i="42"/>
  <c r="AL41" i="42"/>
  <c r="AM41" i="42"/>
  <c r="AN41" i="42"/>
  <c r="AO41" i="42"/>
  <c r="AP41" i="42"/>
  <c r="AQ41" i="42"/>
  <c r="AR41" i="42"/>
  <c r="AS41" i="42"/>
  <c r="AT41" i="42"/>
  <c r="AU41" i="42"/>
  <c r="AV41" i="42"/>
  <c r="AW41" i="42"/>
  <c r="AX41" i="42"/>
  <c r="AY41" i="42"/>
  <c r="AZ41" i="42"/>
  <c r="BA41" i="42"/>
  <c r="BB41" i="42"/>
  <c r="BC41" i="42"/>
  <c r="E41" i="42"/>
  <c r="F40" i="42"/>
  <c r="G40" i="42"/>
  <c r="H40" i="42"/>
  <c r="I40" i="42"/>
  <c r="J40" i="42"/>
  <c r="K40" i="42"/>
  <c r="L40" i="42"/>
  <c r="M40" i="42"/>
  <c r="N40" i="42"/>
  <c r="O40" i="42"/>
  <c r="P40" i="42"/>
  <c r="Q40" i="42"/>
  <c r="R40" i="42"/>
  <c r="S40" i="42"/>
  <c r="T40" i="42"/>
  <c r="U40" i="42"/>
  <c r="V40" i="42"/>
  <c r="W40" i="42"/>
  <c r="X40" i="42"/>
  <c r="Y40" i="42"/>
  <c r="Z40" i="42"/>
  <c r="AA40" i="42"/>
  <c r="AB40" i="42"/>
  <c r="AC40" i="42"/>
  <c r="AD40" i="42"/>
  <c r="AE40" i="42"/>
  <c r="AF40" i="42"/>
  <c r="AG40" i="42"/>
  <c r="AH40" i="42"/>
  <c r="AI40" i="42"/>
  <c r="AJ40" i="42"/>
  <c r="AK40" i="42"/>
  <c r="AL40" i="42"/>
  <c r="AM40" i="42"/>
  <c r="AN40" i="42"/>
  <c r="AO40" i="42"/>
  <c r="AP40" i="42"/>
  <c r="AQ40" i="42"/>
  <c r="AR40" i="42"/>
  <c r="AS40" i="42"/>
  <c r="AT40" i="42"/>
  <c r="AU40" i="42"/>
  <c r="AV40" i="42"/>
  <c r="AW40" i="42"/>
  <c r="AX40" i="42"/>
  <c r="AY40" i="42"/>
  <c r="AZ40" i="42"/>
  <c r="BA40" i="42"/>
  <c r="BB40" i="42"/>
  <c r="BC40" i="42"/>
  <c r="E40" i="42"/>
  <c r="F39" i="42"/>
  <c r="G39" i="42"/>
  <c r="H39" i="42"/>
  <c r="I39" i="42"/>
  <c r="J39" i="42"/>
  <c r="K39" i="42"/>
  <c r="L39" i="42"/>
  <c r="M39" i="42"/>
  <c r="N39" i="42"/>
  <c r="O39" i="42"/>
  <c r="P39" i="42"/>
  <c r="Q39" i="42"/>
  <c r="R39" i="42"/>
  <c r="S39" i="42"/>
  <c r="T39" i="42"/>
  <c r="U39" i="42"/>
  <c r="V39" i="42"/>
  <c r="W39" i="42"/>
  <c r="X39" i="42"/>
  <c r="Y39" i="42"/>
  <c r="Z39" i="42"/>
  <c r="AA39" i="42"/>
  <c r="AB39" i="42"/>
  <c r="AC39" i="42"/>
  <c r="AD39" i="42"/>
  <c r="AE39" i="42"/>
  <c r="AF39" i="42"/>
  <c r="AG39" i="42"/>
  <c r="AH39" i="42"/>
  <c r="AI39" i="42"/>
  <c r="AJ39" i="42"/>
  <c r="AK39" i="42"/>
  <c r="AL39" i="42"/>
  <c r="AM39" i="42"/>
  <c r="AN39" i="42"/>
  <c r="AO39" i="42"/>
  <c r="AP39" i="42"/>
  <c r="AQ39" i="42"/>
  <c r="AR39" i="42"/>
  <c r="AS39" i="42"/>
  <c r="AT39" i="42"/>
  <c r="AU39" i="42"/>
  <c r="AV39" i="42"/>
  <c r="AW39" i="42"/>
  <c r="AX39" i="42"/>
  <c r="AY39" i="42"/>
  <c r="AZ39" i="42"/>
  <c r="BA39" i="42"/>
  <c r="BB39" i="42"/>
  <c r="BC39" i="42"/>
  <c r="E39" i="42"/>
  <c r="F38" i="42"/>
  <c r="G38" i="42"/>
  <c r="H38" i="42"/>
  <c r="I38" i="42"/>
  <c r="J38" i="42"/>
  <c r="K38" i="42"/>
  <c r="L38" i="42"/>
  <c r="M38" i="42"/>
  <c r="N38" i="42"/>
  <c r="O38" i="42"/>
  <c r="P38" i="42"/>
  <c r="Q38" i="42"/>
  <c r="R38" i="42"/>
  <c r="S38" i="42"/>
  <c r="T38" i="42"/>
  <c r="U38" i="42"/>
  <c r="V38" i="42"/>
  <c r="W38" i="42"/>
  <c r="X38" i="42"/>
  <c r="Y38" i="42"/>
  <c r="Z38" i="42"/>
  <c r="AA38" i="42"/>
  <c r="AB38" i="42"/>
  <c r="AC38" i="42"/>
  <c r="AD38" i="42"/>
  <c r="AE38" i="42"/>
  <c r="AF38" i="42"/>
  <c r="AG38" i="42"/>
  <c r="AH38" i="42"/>
  <c r="AI38" i="42"/>
  <c r="AJ38" i="42"/>
  <c r="AK38" i="42"/>
  <c r="AL38" i="42"/>
  <c r="AM38" i="42"/>
  <c r="AN38" i="42"/>
  <c r="AO38" i="42"/>
  <c r="AP38" i="42"/>
  <c r="AQ38" i="42"/>
  <c r="AR38" i="42"/>
  <c r="AS38" i="42"/>
  <c r="AT38" i="42"/>
  <c r="AU38" i="42"/>
  <c r="AV38" i="42"/>
  <c r="AW38" i="42"/>
  <c r="AX38" i="42"/>
  <c r="AY38" i="42"/>
  <c r="AZ38" i="42"/>
  <c r="BA38" i="42"/>
  <c r="BB38" i="42"/>
  <c r="BC38" i="42"/>
  <c r="E38" i="42"/>
  <c r="F34" i="42"/>
  <c r="G34" i="42"/>
  <c r="H34" i="42"/>
  <c r="I34" i="42"/>
  <c r="J34" i="42"/>
  <c r="K34" i="42"/>
  <c r="L34" i="42"/>
  <c r="M34" i="42"/>
  <c r="N34" i="42"/>
  <c r="O34" i="42"/>
  <c r="P34" i="42"/>
  <c r="Q34" i="42"/>
  <c r="R34" i="42"/>
  <c r="S34" i="42"/>
  <c r="T34" i="42"/>
  <c r="U34" i="42"/>
  <c r="V34" i="42"/>
  <c r="W34" i="42"/>
  <c r="X34" i="42"/>
  <c r="Y34" i="42"/>
  <c r="Z34" i="42"/>
  <c r="AA34" i="42"/>
  <c r="AB34" i="42"/>
  <c r="AC34" i="42"/>
  <c r="AD34" i="42"/>
  <c r="AE34" i="42"/>
  <c r="AF34" i="42"/>
  <c r="AG34" i="42"/>
  <c r="AH34" i="42"/>
  <c r="AI34" i="42"/>
  <c r="AJ34" i="42"/>
  <c r="AK34" i="42"/>
  <c r="AL34" i="42"/>
  <c r="AM34" i="42"/>
  <c r="AN34" i="42"/>
  <c r="AO34" i="42"/>
  <c r="AP34" i="42"/>
  <c r="AQ34" i="42"/>
  <c r="AR34" i="42"/>
  <c r="AS34" i="42"/>
  <c r="AT34" i="42"/>
  <c r="AU34" i="42"/>
  <c r="AV34" i="42"/>
  <c r="AW34" i="42"/>
  <c r="AX34" i="42"/>
  <c r="AY34" i="42"/>
  <c r="AZ34" i="42"/>
  <c r="BA34" i="42"/>
  <c r="BB34" i="42"/>
  <c r="BC34" i="42"/>
  <c r="BD34" i="42"/>
  <c r="BE34" i="42"/>
  <c r="BF34" i="42"/>
  <c r="BG34" i="42"/>
  <c r="E34" i="42"/>
  <c r="F33" i="42"/>
  <c r="G33" i="42"/>
  <c r="H33" i="42"/>
  <c r="I33" i="42"/>
  <c r="J33" i="42"/>
  <c r="K33" i="42"/>
  <c r="L33" i="42"/>
  <c r="M33" i="42"/>
  <c r="N33" i="42"/>
  <c r="O33" i="42"/>
  <c r="P33" i="42"/>
  <c r="Q33" i="42"/>
  <c r="R33" i="42"/>
  <c r="S33" i="42"/>
  <c r="T33" i="42"/>
  <c r="U33" i="42"/>
  <c r="V33" i="42"/>
  <c r="W33" i="42"/>
  <c r="X33" i="42"/>
  <c r="Y33" i="42"/>
  <c r="Z33" i="42"/>
  <c r="AA33" i="42"/>
  <c r="AB33" i="42"/>
  <c r="AC33" i="42"/>
  <c r="AD33" i="42"/>
  <c r="AE33" i="42"/>
  <c r="AF33" i="42"/>
  <c r="AG33" i="42"/>
  <c r="AH33" i="42"/>
  <c r="AI33" i="42"/>
  <c r="AJ33" i="42"/>
  <c r="AK33" i="42"/>
  <c r="AL33" i="42"/>
  <c r="AM33" i="42"/>
  <c r="AN33" i="42"/>
  <c r="AO33" i="42"/>
  <c r="AP33" i="42"/>
  <c r="AQ33" i="42"/>
  <c r="AR33" i="42"/>
  <c r="AS33" i="42"/>
  <c r="AT33" i="42"/>
  <c r="AU33" i="42"/>
  <c r="AV33" i="42"/>
  <c r="AW33" i="42"/>
  <c r="AX33" i="42"/>
  <c r="AY33" i="42"/>
  <c r="AZ33" i="42"/>
  <c r="BA33" i="42"/>
  <c r="BB33" i="42"/>
  <c r="BC33" i="42"/>
  <c r="BD33" i="42"/>
  <c r="BE33" i="42"/>
  <c r="BF33" i="42"/>
  <c r="BG33" i="42"/>
  <c r="E33" i="42"/>
  <c r="F32" i="42"/>
  <c r="G32" i="42"/>
  <c r="H32" i="42"/>
  <c r="I32" i="42"/>
  <c r="J32" i="42"/>
  <c r="K32" i="42"/>
  <c r="L32" i="42"/>
  <c r="M32" i="42"/>
  <c r="N32" i="42"/>
  <c r="O32" i="42"/>
  <c r="P32" i="42"/>
  <c r="Q32" i="42"/>
  <c r="R32" i="42"/>
  <c r="S32" i="42"/>
  <c r="T32" i="42"/>
  <c r="U32" i="42"/>
  <c r="V32" i="42"/>
  <c r="W32" i="42"/>
  <c r="X32" i="42"/>
  <c r="Y32" i="42"/>
  <c r="Z32" i="42"/>
  <c r="AA32" i="42"/>
  <c r="AB32" i="42"/>
  <c r="AC32" i="42"/>
  <c r="AD32" i="42"/>
  <c r="AE32" i="42"/>
  <c r="AF32" i="42"/>
  <c r="AG32" i="42"/>
  <c r="AH32" i="42"/>
  <c r="AI32" i="42"/>
  <c r="AJ32" i="42"/>
  <c r="AK32" i="42"/>
  <c r="AL32" i="42"/>
  <c r="AM32" i="42"/>
  <c r="AN32" i="42"/>
  <c r="AO32" i="42"/>
  <c r="AP32" i="42"/>
  <c r="AQ32" i="42"/>
  <c r="AR32" i="42"/>
  <c r="AS32" i="42"/>
  <c r="AT32" i="42"/>
  <c r="AU32" i="42"/>
  <c r="AV32" i="42"/>
  <c r="AW32" i="42"/>
  <c r="AX32" i="42"/>
  <c r="AY32" i="42"/>
  <c r="AZ32" i="42"/>
  <c r="BA32" i="42"/>
  <c r="BB32" i="42"/>
  <c r="BC32" i="42"/>
  <c r="E32" i="42"/>
  <c r="F31" i="42"/>
  <c r="G31" i="42"/>
  <c r="H31" i="42"/>
  <c r="I31" i="42"/>
  <c r="J31" i="42"/>
  <c r="K31" i="42"/>
  <c r="L31" i="42"/>
  <c r="M31" i="42"/>
  <c r="N31" i="42"/>
  <c r="O31" i="42"/>
  <c r="P31" i="42"/>
  <c r="Q31" i="42"/>
  <c r="R31" i="42"/>
  <c r="S31" i="42"/>
  <c r="T31" i="42"/>
  <c r="U31" i="42"/>
  <c r="V31" i="42"/>
  <c r="W31" i="42"/>
  <c r="X31" i="42"/>
  <c r="Y31" i="42"/>
  <c r="Z31" i="42"/>
  <c r="AA31" i="42"/>
  <c r="AB31" i="42"/>
  <c r="AC31" i="42"/>
  <c r="AD31" i="42"/>
  <c r="AE31" i="42"/>
  <c r="AF31" i="42"/>
  <c r="AG31" i="42"/>
  <c r="AH31" i="42"/>
  <c r="AI31" i="42"/>
  <c r="AJ31" i="42"/>
  <c r="AK31" i="42"/>
  <c r="AL31" i="42"/>
  <c r="AM31" i="42"/>
  <c r="AN31" i="42"/>
  <c r="AO31" i="42"/>
  <c r="AP31" i="42"/>
  <c r="AQ31" i="42"/>
  <c r="AR31" i="42"/>
  <c r="AS31" i="42"/>
  <c r="AT31" i="42"/>
  <c r="AU31" i="42"/>
  <c r="AV31" i="42"/>
  <c r="AW31" i="42"/>
  <c r="AX31" i="42"/>
  <c r="AY31" i="42"/>
  <c r="AZ31" i="42"/>
  <c r="BA31" i="42"/>
  <c r="BB31" i="42"/>
  <c r="BC31" i="42"/>
  <c r="E31" i="42"/>
  <c r="F30" i="42"/>
  <c r="G30" i="42"/>
  <c r="H30" i="42"/>
  <c r="I30" i="42"/>
  <c r="J30" i="42"/>
  <c r="K30" i="42"/>
  <c r="L30" i="42"/>
  <c r="M30" i="42"/>
  <c r="N30" i="42"/>
  <c r="O30" i="42"/>
  <c r="P30" i="42"/>
  <c r="Q30" i="42"/>
  <c r="R30" i="42"/>
  <c r="S30" i="42"/>
  <c r="T30" i="42"/>
  <c r="U30" i="42"/>
  <c r="V30" i="42"/>
  <c r="W30" i="42"/>
  <c r="X30" i="42"/>
  <c r="Y30" i="42"/>
  <c r="Z30" i="42"/>
  <c r="AA30" i="42"/>
  <c r="AB30" i="42"/>
  <c r="AC30" i="42"/>
  <c r="AD30" i="42"/>
  <c r="AE30" i="42"/>
  <c r="AF30" i="42"/>
  <c r="AG30" i="42"/>
  <c r="AH30" i="42"/>
  <c r="AI30" i="42"/>
  <c r="AJ30" i="42"/>
  <c r="AK30" i="42"/>
  <c r="AL30" i="42"/>
  <c r="AM30" i="42"/>
  <c r="AN30" i="42"/>
  <c r="AO30" i="42"/>
  <c r="AP30" i="42"/>
  <c r="AQ30" i="42"/>
  <c r="AR30" i="42"/>
  <c r="AS30" i="42"/>
  <c r="AT30" i="42"/>
  <c r="AU30" i="42"/>
  <c r="AV30" i="42"/>
  <c r="AW30" i="42"/>
  <c r="AX30" i="42"/>
  <c r="AY30" i="42"/>
  <c r="AZ30" i="42"/>
  <c r="BA30" i="42"/>
  <c r="BB30" i="42"/>
  <c r="BC30" i="42"/>
  <c r="E30" i="42"/>
  <c r="F29" i="42"/>
  <c r="G29" i="42"/>
  <c r="H29" i="42"/>
  <c r="I29" i="42"/>
  <c r="J29" i="42"/>
  <c r="K29" i="42"/>
  <c r="L29" i="42"/>
  <c r="M29" i="42"/>
  <c r="N29" i="42"/>
  <c r="O29" i="42"/>
  <c r="P29" i="42"/>
  <c r="Q29" i="42"/>
  <c r="R29" i="42"/>
  <c r="S29" i="42"/>
  <c r="T29" i="42"/>
  <c r="U29" i="42"/>
  <c r="V29" i="42"/>
  <c r="W29" i="42"/>
  <c r="X29" i="42"/>
  <c r="Y29" i="42"/>
  <c r="Z29" i="42"/>
  <c r="AA29" i="42"/>
  <c r="AB29" i="42"/>
  <c r="AC29" i="42"/>
  <c r="AD29" i="42"/>
  <c r="AE29" i="42"/>
  <c r="AF29" i="42"/>
  <c r="AG29" i="42"/>
  <c r="AH29" i="42"/>
  <c r="AI29" i="42"/>
  <c r="AJ29" i="42"/>
  <c r="AK29" i="42"/>
  <c r="AL29" i="42"/>
  <c r="AM29" i="42"/>
  <c r="AN29" i="42"/>
  <c r="AO29" i="42"/>
  <c r="AP29" i="42"/>
  <c r="AQ29" i="42"/>
  <c r="AR29" i="42"/>
  <c r="AS29" i="42"/>
  <c r="AT29" i="42"/>
  <c r="AU29" i="42"/>
  <c r="AV29" i="42"/>
  <c r="AW29" i="42"/>
  <c r="AX29" i="42"/>
  <c r="AY29" i="42"/>
  <c r="AZ29" i="42"/>
  <c r="BA29" i="42"/>
  <c r="BB29" i="42"/>
  <c r="BC29" i="42"/>
  <c r="E29" i="42"/>
  <c r="F28" i="42"/>
  <c r="G28" i="42"/>
  <c r="H28" i="42"/>
  <c r="I28" i="42"/>
  <c r="J28" i="42"/>
  <c r="K28" i="42"/>
  <c r="L28" i="42"/>
  <c r="M28" i="42"/>
  <c r="N28" i="42"/>
  <c r="O28" i="42"/>
  <c r="P28" i="42"/>
  <c r="Q28" i="42"/>
  <c r="R28" i="42"/>
  <c r="S28" i="42"/>
  <c r="T28" i="42"/>
  <c r="U28" i="42"/>
  <c r="V28" i="42"/>
  <c r="W28" i="42"/>
  <c r="X28" i="42"/>
  <c r="Y28" i="42"/>
  <c r="Z28" i="42"/>
  <c r="AA28" i="42"/>
  <c r="AB28" i="42"/>
  <c r="AC28" i="42"/>
  <c r="AD28" i="42"/>
  <c r="AE28" i="42"/>
  <c r="AF28" i="42"/>
  <c r="AG28" i="42"/>
  <c r="AH28" i="42"/>
  <c r="AI28" i="42"/>
  <c r="AJ28" i="42"/>
  <c r="AK28" i="42"/>
  <c r="AL28" i="42"/>
  <c r="AM28" i="42"/>
  <c r="AN28" i="42"/>
  <c r="AO28" i="42"/>
  <c r="AP28" i="42"/>
  <c r="AQ28" i="42"/>
  <c r="AR28" i="42"/>
  <c r="AS28" i="42"/>
  <c r="AT28" i="42"/>
  <c r="AU28" i="42"/>
  <c r="AV28" i="42"/>
  <c r="AW28" i="42"/>
  <c r="AX28" i="42"/>
  <c r="AY28" i="42"/>
  <c r="AZ28" i="42"/>
  <c r="BA28" i="42"/>
  <c r="BB28" i="42"/>
  <c r="BC28" i="42"/>
  <c r="BD28" i="42"/>
  <c r="BE28" i="42"/>
  <c r="BF28" i="42"/>
  <c r="BG28" i="42"/>
  <c r="E28" i="42"/>
  <c r="F27" i="42"/>
  <c r="G27" i="42"/>
  <c r="H27" i="42"/>
  <c r="I27" i="42"/>
  <c r="J27" i="42"/>
  <c r="K27" i="42"/>
  <c r="L27" i="42"/>
  <c r="M27" i="42"/>
  <c r="N27" i="42"/>
  <c r="O27" i="42"/>
  <c r="P27" i="42"/>
  <c r="Q27" i="42"/>
  <c r="R27" i="42"/>
  <c r="S27" i="42"/>
  <c r="T27" i="42"/>
  <c r="U27" i="42"/>
  <c r="V27" i="42"/>
  <c r="W27" i="42"/>
  <c r="X27" i="42"/>
  <c r="Y27" i="42"/>
  <c r="Z27" i="42"/>
  <c r="AA27" i="42"/>
  <c r="AB27" i="42"/>
  <c r="AC27" i="42"/>
  <c r="AD27" i="42"/>
  <c r="AE27" i="42"/>
  <c r="AF27" i="42"/>
  <c r="AG27" i="42"/>
  <c r="AH27" i="42"/>
  <c r="AI27" i="42"/>
  <c r="AJ27" i="42"/>
  <c r="AK27" i="42"/>
  <c r="AL27" i="42"/>
  <c r="AM27" i="42"/>
  <c r="AN27" i="42"/>
  <c r="AO27" i="42"/>
  <c r="AP27" i="42"/>
  <c r="AQ27" i="42"/>
  <c r="AR27" i="42"/>
  <c r="AS27" i="42"/>
  <c r="AT27" i="42"/>
  <c r="AU27" i="42"/>
  <c r="AV27" i="42"/>
  <c r="AW27" i="42"/>
  <c r="AX27" i="42"/>
  <c r="AY27" i="42"/>
  <c r="AZ27" i="42"/>
  <c r="BA27" i="42"/>
  <c r="BB27" i="42"/>
  <c r="BC27" i="42"/>
  <c r="BD27" i="42"/>
  <c r="BE27" i="42"/>
  <c r="BF27" i="42"/>
  <c r="BG27" i="42"/>
  <c r="E27" i="42"/>
  <c r="F24" i="42"/>
  <c r="G24" i="42"/>
  <c r="H24" i="42"/>
  <c r="I24" i="42"/>
  <c r="J24" i="42"/>
  <c r="K24" i="42"/>
  <c r="L24" i="42"/>
  <c r="M24" i="42"/>
  <c r="N24" i="42"/>
  <c r="O24" i="42"/>
  <c r="P24" i="42"/>
  <c r="Q24" i="42"/>
  <c r="R24" i="42"/>
  <c r="S24" i="42"/>
  <c r="T24" i="42"/>
  <c r="U24" i="42"/>
  <c r="V24" i="42"/>
  <c r="W24" i="42"/>
  <c r="X24" i="42"/>
  <c r="Y24" i="42"/>
  <c r="Z24" i="42"/>
  <c r="AA24" i="42"/>
  <c r="AB24" i="42"/>
  <c r="AC24" i="42"/>
  <c r="AD24" i="42"/>
  <c r="AE24" i="42"/>
  <c r="AF24" i="42"/>
  <c r="AG24" i="42"/>
  <c r="AH24" i="42"/>
  <c r="AI24" i="42"/>
  <c r="AJ24" i="42"/>
  <c r="AK24" i="42"/>
  <c r="AL24" i="42"/>
  <c r="AM24" i="42"/>
  <c r="AN24" i="42"/>
  <c r="AO24" i="42"/>
  <c r="AP24" i="42"/>
  <c r="AQ24" i="42"/>
  <c r="AR24" i="42"/>
  <c r="AS24" i="42"/>
  <c r="AT24" i="42"/>
  <c r="AU24" i="42"/>
  <c r="AV24" i="42"/>
  <c r="AW24" i="42"/>
  <c r="AX24" i="42"/>
  <c r="AY24" i="42"/>
  <c r="AZ24" i="42"/>
  <c r="BA24" i="42"/>
  <c r="BB24" i="42"/>
  <c r="BC24" i="42"/>
  <c r="E24" i="42"/>
  <c r="F23" i="42"/>
  <c r="G23" i="42"/>
  <c r="H23" i="42"/>
  <c r="I23" i="42"/>
  <c r="J23" i="42"/>
  <c r="K23" i="42"/>
  <c r="L23" i="42"/>
  <c r="M23" i="42"/>
  <c r="N23" i="42"/>
  <c r="O23" i="42"/>
  <c r="P23" i="42"/>
  <c r="Q23" i="42"/>
  <c r="R23" i="42"/>
  <c r="S23" i="42"/>
  <c r="T23" i="42"/>
  <c r="U23" i="42"/>
  <c r="V23" i="42"/>
  <c r="W23" i="42"/>
  <c r="X23" i="42"/>
  <c r="Y23" i="42"/>
  <c r="Z23" i="42"/>
  <c r="AA23" i="42"/>
  <c r="AB23" i="42"/>
  <c r="AC23" i="42"/>
  <c r="AD23" i="42"/>
  <c r="AE23" i="42"/>
  <c r="AF23" i="42"/>
  <c r="AG23" i="42"/>
  <c r="AH23" i="42"/>
  <c r="AI23" i="42"/>
  <c r="AJ23" i="42"/>
  <c r="AK23" i="42"/>
  <c r="AL23" i="42"/>
  <c r="AM23" i="42"/>
  <c r="AN23" i="42"/>
  <c r="AO23" i="42"/>
  <c r="AP23" i="42"/>
  <c r="AQ23" i="42"/>
  <c r="AR23" i="42"/>
  <c r="AS23" i="42"/>
  <c r="AT23" i="42"/>
  <c r="AU23" i="42"/>
  <c r="AV23" i="42"/>
  <c r="AW23" i="42"/>
  <c r="AX23" i="42"/>
  <c r="AY23" i="42"/>
  <c r="AZ23" i="42"/>
  <c r="BA23" i="42"/>
  <c r="BB23" i="42"/>
  <c r="BC23" i="42"/>
  <c r="E23" i="42"/>
  <c r="F20" i="42"/>
  <c r="G20" i="42"/>
  <c r="H20" i="42"/>
  <c r="I20" i="42"/>
  <c r="J20" i="42"/>
  <c r="K20" i="42"/>
  <c r="L20" i="42"/>
  <c r="M20" i="42"/>
  <c r="N20" i="42"/>
  <c r="O20" i="42"/>
  <c r="P20" i="42"/>
  <c r="Q20" i="42"/>
  <c r="R20" i="42"/>
  <c r="S20" i="42"/>
  <c r="T20" i="42"/>
  <c r="U20" i="42"/>
  <c r="V20" i="42"/>
  <c r="W20" i="42"/>
  <c r="X20" i="42"/>
  <c r="Y20" i="42"/>
  <c r="Z20" i="42"/>
  <c r="AA20" i="42"/>
  <c r="AB20" i="42"/>
  <c r="AC20" i="42"/>
  <c r="AD20" i="42"/>
  <c r="AE20" i="42"/>
  <c r="AF20" i="42"/>
  <c r="AG20" i="42"/>
  <c r="AH20" i="42"/>
  <c r="AI20" i="42"/>
  <c r="AJ20" i="42"/>
  <c r="AK20" i="42"/>
  <c r="AL20" i="42"/>
  <c r="AM20" i="42"/>
  <c r="AN20" i="42"/>
  <c r="AO20" i="42"/>
  <c r="AP20" i="42"/>
  <c r="AQ20" i="42"/>
  <c r="AR20" i="42"/>
  <c r="AS20" i="42"/>
  <c r="AT20" i="42"/>
  <c r="AU20" i="42"/>
  <c r="AV20" i="42"/>
  <c r="AW20" i="42"/>
  <c r="AX20" i="42"/>
  <c r="AY20" i="42"/>
  <c r="AZ20" i="42"/>
  <c r="BA20" i="42"/>
  <c r="BB20" i="42"/>
  <c r="BC20" i="42"/>
  <c r="BD20" i="42"/>
  <c r="BE20" i="42"/>
  <c r="BF20" i="42"/>
  <c r="BG20" i="42"/>
  <c r="E20" i="42"/>
  <c r="F12" i="42"/>
  <c r="G12" i="42"/>
  <c r="H12" i="42"/>
  <c r="I12" i="42"/>
  <c r="J12" i="42"/>
  <c r="K12" i="42"/>
  <c r="L12" i="42"/>
  <c r="M12" i="42"/>
  <c r="N12" i="42"/>
  <c r="O12" i="42"/>
  <c r="P12" i="42"/>
  <c r="Q12" i="42"/>
  <c r="R12" i="42"/>
  <c r="S12" i="42"/>
  <c r="T12" i="42"/>
  <c r="U12" i="42"/>
  <c r="V12" i="42"/>
  <c r="W12" i="42"/>
  <c r="X12" i="42"/>
  <c r="Y12" i="42"/>
  <c r="Z12" i="42"/>
  <c r="AA12" i="42"/>
  <c r="AB12" i="42"/>
  <c r="AC12" i="42"/>
  <c r="AD12" i="42"/>
  <c r="AE12" i="42"/>
  <c r="AF12" i="42"/>
  <c r="AG12" i="42"/>
  <c r="AH12" i="42"/>
  <c r="AI12" i="42"/>
  <c r="AJ12" i="42"/>
  <c r="AK12" i="42"/>
  <c r="AL12" i="42"/>
  <c r="AM12" i="42"/>
  <c r="AN12" i="42"/>
  <c r="AO12" i="42"/>
  <c r="AP12" i="42"/>
  <c r="AQ12" i="42"/>
  <c r="AR12" i="42"/>
  <c r="AS12" i="42"/>
  <c r="AT12" i="42"/>
  <c r="AU12" i="42"/>
  <c r="AV12" i="42"/>
  <c r="AW12" i="42"/>
  <c r="AX12" i="42"/>
  <c r="AY12" i="42"/>
  <c r="AZ12" i="42"/>
  <c r="BA12" i="42"/>
  <c r="BB12" i="42"/>
  <c r="BC12" i="42"/>
  <c r="E12" i="4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25" i="42" s="1"/>
  <c r="N86" i="75" l="1"/>
  <c r="G55" i="79" l="1"/>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G15" i="34" l="1"/>
  <c r="R25" i="67" l="1"/>
  <c r="F61" i="42" l="1"/>
  <c r="G61" i="42"/>
  <c r="H61" i="42"/>
  <c r="I61" i="42"/>
  <c r="J61" i="42"/>
  <c r="K61" i="42"/>
  <c r="L61" i="42"/>
  <c r="M61" i="42"/>
  <c r="N61" i="42"/>
  <c r="O61" i="42"/>
  <c r="P61" i="42"/>
  <c r="Q61" i="42"/>
  <c r="R61" i="42"/>
  <c r="S61" i="42"/>
  <c r="T61" i="42"/>
  <c r="U61" i="42"/>
  <c r="V61" i="42"/>
  <c r="V37" i="35" s="1"/>
  <c r="W61" i="42"/>
  <c r="X61" i="42"/>
  <c r="Y61" i="42"/>
  <c r="Z61" i="42"/>
  <c r="AA61" i="42"/>
  <c r="AB61" i="42"/>
  <c r="AC61" i="42"/>
  <c r="AD61" i="42"/>
  <c r="AE61" i="42"/>
  <c r="AF61" i="42"/>
  <c r="AG61" i="42"/>
  <c r="AH61" i="42"/>
  <c r="AI61" i="42"/>
  <c r="AJ61" i="42"/>
  <c r="AK61" i="42"/>
  <c r="AL61" i="42"/>
  <c r="AM61" i="42"/>
  <c r="AN61" i="42"/>
  <c r="AO61" i="42"/>
  <c r="AP61" i="42"/>
  <c r="AQ61" i="42"/>
  <c r="AR61" i="42"/>
  <c r="AS61" i="42"/>
  <c r="AT61" i="42"/>
  <c r="AU61" i="42"/>
  <c r="AV61" i="42"/>
  <c r="AW61" i="42"/>
  <c r="AX61" i="42"/>
  <c r="AY61" i="42"/>
  <c r="AZ61" i="42"/>
  <c r="BA61" i="42"/>
  <c r="E61" i="42"/>
  <c r="E37" i="35" s="1"/>
  <c r="F58" i="42"/>
  <c r="F36" i="35" s="1"/>
  <c r="G58" i="42"/>
  <c r="G36" i="35" s="1"/>
  <c r="H58" i="42"/>
  <c r="H36" i="35" s="1"/>
  <c r="I58" i="42"/>
  <c r="I36" i="35" s="1"/>
  <c r="J58" i="42"/>
  <c r="J36" i="35" s="1"/>
  <c r="K58" i="42"/>
  <c r="K36" i="35" s="1"/>
  <c r="L58" i="42"/>
  <c r="L36" i="35" s="1"/>
  <c r="M58" i="42"/>
  <c r="M36" i="35" s="1"/>
  <c r="N58" i="42"/>
  <c r="N36" i="35" s="1"/>
  <c r="O58" i="42"/>
  <c r="O36" i="35" s="1"/>
  <c r="P58" i="42"/>
  <c r="P36" i="35" s="1"/>
  <c r="Q58" i="42"/>
  <c r="Q36" i="35" s="1"/>
  <c r="R58" i="42"/>
  <c r="R36" i="35" s="1"/>
  <c r="S58" i="42"/>
  <c r="S36" i="35" s="1"/>
  <c r="T58" i="42"/>
  <c r="T36" i="35" s="1"/>
  <c r="U58" i="42"/>
  <c r="U36" i="35" s="1"/>
  <c r="V58" i="42"/>
  <c r="V36" i="35" s="1"/>
  <c r="W58" i="42"/>
  <c r="W36" i="35" s="1"/>
  <c r="X58" i="42"/>
  <c r="X36" i="35" s="1"/>
  <c r="Y58" i="42"/>
  <c r="Y36" i="35" s="1"/>
  <c r="Z58" i="42"/>
  <c r="Z36" i="35" s="1"/>
  <c r="AA58" i="42"/>
  <c r="AA36" i="35" s="1"/>
  <c r="AB58" i="42"/>
  <c r="AB36" i="35" s="1"/>
  <c r="AC58" i="42"/>
  <c r="AC36" i="35" s="1"/>
  <c r="AD58" i="42"/>
  <c r="AD36" i="35" s="1"/>
  <c r="AE58" i="42"/>
  <c r="AE36" i="35" s="1"/>
  <c r="AF58" i="42"/>
  <c r="AF36" i="35" s="1"/>
  <c r="AG58" i="42"/>
  <c r="AG36" i="35" s="1"/>
  <c r="AH58" i="42"/>
  <c r="AH36" i="35" s="1"/>
  <c r="AI58" i="42"/>
  <c r="AI36" i="35" s="1"/>
  <c r="AJ58" i="42"/>
  <c r="AJ36" i="35" s="1"/>
  <c r="AK58" i="42"/>
  <c r="AK36" i="35" s="1"/>
  <c r="AL58" i="42"/>
  <c r="AL36" i="35" s="1"/>
  <c r="AM58" i="42"/>
  <c r="AM36" i="35" s="1"/>
  <c r="AN58" i="42"/>
  <c r="AN36" i="35" s="1"/>
  <c r="AO58" i="42"/>
  <c r="AO36" i="35" s="1"/>
  <c r="AP58" i="42"/>
  <c r="AP36" i="35" s="1"/>
  <c r="AQ58" i="42"/>
  <c r="AQ36" i="35" s="1"/>
  <c r="AR58" i="42"/>
  <c r="AR36" i="35" s="1"/>
  <c r="AS58" i="42"/>
  <c r="AS36" i="35" s="1"/>
  <c r="AT58" i="42"/>
  <c r="AT36" i="35" s="1"/>
  <c r="AU58" i="42"/>
  <c r="AU36" i="35" s="1"/>
  <c r="AV58" i="42"/>
  <c r="AV36" i="35" s="1"/>
  <c r="AW58" i="42"/>
  <c r="AW36" i="35" s="1"/>
  <c r="AX58" i="42"/>
  <c r="AX36" i="35" s="1"/>
  <c r="AY58" i="42"/>
  <c r="AY36" i="35" s="1"/>
  <c r="AZ58" i="42"/>
  <c r="AZ36" i="35" s="1"/>
  <c r="BA58" i="42"/>
  <c r="BA36" i="35" s="1"/>
  <c r="BB58" i="42"/>
  <c r="BB36" i="35" s="1"/>
  <c r="BC58" i="42"/>
  <c r="BC36" i="35" s="1"/>
  <c r="E58" i="42"/>
  <c r="E36" i="35" s="1"/>
  <c r="AJ5" i="22" l="1"/>
  <c r="BE218" i="24" l="1"/>
  <c r="BE217" i="24"/>
  <c r="BG166" i="23" l="1"/>
  <c r="BF166" i="23"/>
  <c r="BE166" i="23"/>
  <c r="BD166" i="23"/>
  <c r="E17" i="46" l="1"/>
  <c r="AX89" i="34" l="1"/>
  <c r="AV114" i="34" l="1"/>
  <c r="AM99" i="34" l="1"/>
  <c r="BG168" i="34" l="1"/>
  <c r="BG24" i="24" l="1"/>
  <c r="C15" i="44" l="1"/>
  <c r="I5" i="1" l="1"/>
  <c r="AE221" i="75"/>
  <c r="AE69" i="75" l="1"/>
  <c r="Y216" i="75" l="1"/>
  <c r="T216"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C12" i="58" l="1"/>
  <c r="C11" i="58"/>
  <c r="AY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S6" i="69"/>
  <c r="R6" i="69"/>
  <c r="Q6" i="69"/>
  <c r="P6" i="69"/>
  <c r="O6" i="69"/>
  <c r="N6" i="69"/>
  <c r="M6" i="69"/>
  <c r="L6" i="69"/>
  <c r="K6" i="69"/>
  <c r="J6" i="69"/>
  <c r="I6" i="69"/>
  <c r="H6" i="69"/>
  <c r="G6" i="69"/>
  <c r="F6" i="69"/>
  <c r="E6" i="69"/>
  <c r="E158" i="70" l="1"/>
  <c r="C11" i="72"/>
  <c r="AG221" i="75"/>
  <c r="F224" i="76" s="1"/>
  <c r="C12" i="72"/>
  <c r="AE68" i="75"/>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R229" i="63" s="1"/>
  <c r="R231" i="63" s="1"/>
  <c r="Q216" i="63"/>
  <c r="P216" i="63"/>
  <c r="O216" i="63"/>
  <c r="N216" i="63"/>
  <c r="N229" i="63" s="1"/>
  <c r="N231" i="63" s="1"/>
  <c r="M216" i="63"/>
  <c r="L216" i="63"/>
  <c r="K216" i="63"/>
  <c r="K229" i="63" s="1"/>
  <c r="K231" i="63" s="1"/>
  <c r="J216" i="63"/>
  <c r="I216" i="63"/>
  <c r="H216" i="63"/>
  <c r="H229" i="63" s="1"/>
  <c r="H231" i="63" s="1"/>
  <c r="G216" i="63"/>
  <c r="G229" i="63" s="1"/>
  <c r="G231" i="63" s="1"/>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3" i="55"/>
  <c r="E76" i="56" s="1"/>
  <c r="R72" i="55"/>
  <c r="E75" i="56" s="1"/>
  <c r="R71" i="55"/>
  <c r="E74" i="56" s="1"/>
  <c r="R70" i="55"/>
  <c r="E73" i="56" s="1"/>
  <c r="R69" i="55"/>
  <c r="E72" i="56" s="1"/>
  <c r="R68" i="55"/>
  <c r="E71" i="56" s="1"/>
  <c r="R67" i="55"/>
  <c r="E70" i="56" s="1"/>
  <c r="R66" i="55"/>
  <c r="E69" i="56" s="1"/>
  <c r="Q65" i="55"/>
  <c r="P65" i="55"/>
  <c r="O65" i="55"/>
  <c r="N65" i="55"/>
  <c r="M65" i="55"/>
  <c r="L65" i="55"/>
  <c r="K65" i="55"/>
  <c r="J65" i="55"/>
  <c r="I65" i="55"/>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M163" i="55" l="1"/>
  <c r="F195" i="64"/>
  <c r="S230" i="63"/>
  <c r="Q163" i="55"/>
  <c r="K163" i="55"/>
  <c r="O163" i="55"/>
  <c r="I163" i="55"/>
  <c r="AF165" i="69"/>
  <c r="C19" i="74"/>
  <c r="L163" i="55"/>
  <c r="N163" i="55"/>
  <c r="P163" i="55"/>
  <c r="C10" i="72"/>
  <c r="C14"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J25" i="24"/>
  <c r="F219" i="64" l="1"/>
  <c r="S229" i="63"/>
  <c r="S231" i="63" s="1"/>
  <c r="C9" i="60"/>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F169" i="34"/>
  <c r="R183" i="67" l="1"/>
  <c r="D22" i="61" s="1"/>
  <c r="F9" i="64"/>
  <c r="F8" i="64"/>
  <c r="F10" i="64"/>
  <c r="E186" i="68"/>
  <c r="E22" i="62"/>
  <c r="R160" i="55"/>
  <c r="R161" i="55" s="1"/>
  <c r="C13" i="58"/>
  <c r="S226" i="63"/>
  <c r="F229" i="64" s="1"/>
  <c r="AC114" i="34"/>
  <c r="AD48" i="24"/>
  <c r="C10" i="57" l="1"/>
  <c r="I165" i="24"/>
  <c r="H13" i="42" s="1"/>
  <c r="I48" i="24"/>
  <c r="H207" i="24" l="1"/>
  <c r="H41" i="24"/>
  <c r="J25" i="24" l="1"/>
  <c r="BB178" i="34" l="1"/>
  <c r="M15" i="24" l="1"/>
  <c r="F83" i="34" l="1"/>
  <c r="R10" i="1" l="1"/>
  <c r="R9" i="1"/>
  <c r="R8" i="1"/>
  <c r="R7" i="1"/>
  <c r="R6" i="1"/>
  <c r="R5" i="1"/>
  <c r="O7" i="1"/>
  <c r="O6" i="1"/>
  <c r="O5" i="1"/>
  <c r="L15" i="1"/>
  <c r="L16" i="1"/>
  <c r="L14" i="1"/>
  <c r="L13" i="1"/>
  <c r="L12" i="1"/>
  <c r="L11" i="1"/>
  <c r="L9" i="1"/>
  <c r="L10" i="1"/>
  <c r="L8" i="1"/>
  <c r="L7" i="1"/>
  <c r="L5" i="1"/>
  <c r="L6" i="1"/>
  <c r="I16" i="1"/>
  <c r="I15" i="1"/>
  <c r="I13" i="1"/>
  <c r="I12" i="1"/>
  <c r="I14" i="1"/>
  <c r="I11" i="1"/>
  <c r="I10" i="1"/>
  <c r="I9" i="1"/>
  <c r="I7" i="1"/>
  <c r="I6" i="1"/>
  <c r="I8" i="1"/>
  <c r="F17" i="1"/>
  <c r="F16" i="1"/>
  <c r="F14" i="1"/>
  <c r="F15" i="1"/>
  <c r="F13" i="1"/>
  <c r="F11" i="1"/>
  <c r="F10" i="1"/>
  <c r="F8" i="1"/>
  <c r="F9" i="1"/>
  <c r="F7" i="1"/>
  <c r="F6" i="1"/>
  <c r="F5" i="1"/>
  <c r="F18" i="1" s="1"/>
  <c r="C9" i="1"/>
  <c r="C8" i="1"/>
  <c r="C7"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F222" i="24"/>
  <c r="BC224" i="24" l="1"/>
  <c r="BB224" i="24"/>
  <c r="AZ224" i="24"/>
  <c r="AT224" i="24"/>
  <c r="AR224" i="24"/>
  <c r="AP224" i="24"/>
  <c r="AN224" i="24"/>
  <c r="AJ224" i="24"/>
  <c r="AF224" i="24"/>
  <c r="AD224" i="24"/>
  <c r="AB224" i="24"/>
  <c r="AA224" i="24"/>
  <c r="Y224" i="24"/>
  <c r="U224" i="24"/>
  <c r="Q224" i="24"/>
  <c r="K224" i="24"/>
  <c r="AX224" i="24"/>
  <c r="AV224" i="24"/>
  <c r="BA224" i="24"/>
  <c r="AY224" i="24"/>
  <c r="AM224" i="24"/>
  <c r="AL224" i="24"/>
  <c r="W224" i="24"/>
  <c r="F224" i="51"/>
  <c r="Z224" i="24"/>
  <c r="P224" i="24"/>
  <c r="L224" i="24"/>
  <c r="J224" i="24"/>
  <c r="AS224" i="24"/>
  <c r="AH224" i="24"/>
  <c r="AI224" i="24"/>
  <c r="AE224" i="24"/>
  <c r="AC224" i="24"/>
  <c r="AQ224" i="24"/>
  <c r="AW224" i="24"/>
  <c r="O224" i="24"/>
  <c r="S224" i="24"/>
  <c r="V224" i="24"/>
  <c r="AO224" i="24"/>
  <c r="AG224" i="24"/>
  <c r="BD224" i="24"/>
  <c r="AU224" i="24"/>
  <c r="T224" i="24"/>
  <c r="X224" i="24"/>
  <c r="F225" i="51"/>
  <c r="R224" i="24"/>
  <c r="AK224" i="24"/>
  <c r="I224" i="24"/>
  <c r="H224" i="24"/>
  <c r="M224" i="24"/>
  <c r="G224" i="24"/>
  <c r="N224" i="24"/>
  <c r="F224" i="24"/>
  <c r="BG84" i="24"/>
  <c r="BG83" i="24"/>
  <c r="F227" i="51" l="1"/>
  <c r="BG124" i="34"/>
  <c r="BH84" i="24" l="1"/>
  <c r="BH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P80" i="24"/>
  <c r="BE84" i="24"/>
  <c r="BF84" i="24"/>
  <c r="BE83" i="24"/>
  <c r="BF83" i="24"/>
  <c r="BD164" i="23" l="1"/>
  <c r="BE164" i="23"/>
  <c r="BF164" i="23"/>
  <c r="BG164" i="23"/>
  <c r="BD165" i="23"/>
  <c r="D17" i="27" s="1"/>
  <c r="BE165" i="23"/>
  <c r="BF165" i="23"/>
  <c r="BG165" i="23"/>
  <c r="E10" i="35"/>
  <c r="E11" i="35"/>
  <c r="E12" i="35"/>
  <c r="E13" i="35"/>
  <c r="E27" i="35"/>
  <c r="E28" i="35"/>
  <c r="E29" i="35"/>
  <c r="E30" i="35"/>
  <c r="E31" i="35"/>
  <c r="E32" i="35"/>
  <c r="E15" i="35" l="1"/>
  <c r="E10" i="39" s="1"/>
  <c r="E39" i="35"/>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K35" i="38"/>
  <c r="AK39" i="38" s="1"/>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E37" i="38"/>
  <c r="E36" i="38"/>
  <c r="E35" i="38"/>
  <c r="E31" i="38"/>
  <c r="E30" i="38"/>
  <c r="E29" i="38"/>
  <c r="E28" i="38"/>
  <c r="E27"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F5" i="37"/>
  <c r="G5" i="37"/>
  <c r="H5" i="37"/>
  <c r="I5" i="37"/>
  <c r="J5" i="37"/>
  <c r="K5" i="37"/>
  <c r="L5" i="37"/>
  <c r="M5" i="37"/>
  <c r="N5" i="37"/>
  <c r="O5" i="37"/>
  <c r="P5" i="37"/>
  <c r="Q5" i="37"/>
  <c r="R5" i="37"/>
  <c r="S5" i="37"/>
  <c r="T5" i="37"/>
  <c r="U5" i="37"/>
  <c r="V5" i="37"/>
  <c r="W5" i="37"/>
  <c r="X5" i="37"/>
  <c r="Y5" i="37"/>
  <c r="Z5" i="37"/>
  <c r="AA5" i="37"/>
  <c r="AB5" i="37"/>
  <c r="AC5" i="37"/>
  <c r="AD5" i="37"/>
  <c r="AE5" i="37"/>
  <c r="AF5" i="37"/>
  <c r="AG5" i="37"/>
  <c r="AH5" i="37"/>
  <c r="AI5" i="37"/>
  <c r="AJ5" i="37"/>
  <c r="AK5" i="37"/>
  <c r="AL5" i="37"/>
  <c r="AM5" i="37"/>
  <c r="AN5" i="37"/>
  <c r="AO5" i="37"/>
  <c r="AP5" i="37"/>
  <c r="AQ5" i="37"/>
  <c r="AR5" i="37"/>
  <c r="AS5" i="37"/>
  <c r="AT5" i="37"/>
  <c r="AU5" i="37"/>
  <c r="AV5" i="37"/>
  <c r="AW5" i="37"/>
  <c r="AX5" i="37"/>
  <c r="AY5" i="37"/>
  <c r="AZ5" i="37"/>
  <c r="BA5" i="37"/>
  <c r="BB5" i="37"/>
  <c r="BC5" i="37"/>
  <c r="E30" i="37"/>
  <c r="E29" i="37"/>
  <c r="E28" i="37"/>
  <c r="E26" i="37"/>
  <c r="E25" i="37"/>
  <c r="E15" i="37"/>
  <c r="E14" i="37"/>
  <c r="E13" i="37"/>
  <c r="E11" i="37"/>
  <c r="E9" i="37"/>
  <c r="E5" i="37"/>
  <c r="H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F5" i="36"/>
  <c r="G5" i="36"/>
  <c r="H5" i="36"/>
  <c r="I5" i="36"/>
  <c r="J5" i="36"/>
  <c r="K5" i="36"/>
  <c r="L5" i="36"/>
  <c r="M5" i="36"/>
  <c r="N5" i="36"/>
  <c r="O5" i="36"/>
  <c r="P5" i="36"/>
  <c r="Q5" i="36"/>
  <c r="R5" i="36"/>
  <c r="S5" i="36"/>
  <c r="T5" i="36"/>
  <c r="U5" i="36"/>
  <c r="V5" i="36"/>
  <c r="W5" i="36"/>
  <c r="X5" i="36"/>
  <c r="Y5" i="36"/>
  <c r="Z5" i="36"/>
  <c r="AA5" i="36"/>
  <c r="AB5" i="36"/>
  <c r="AC5" i="36"/>
  <c r="AD5" i="36"/>
  <c r="AE5" i="36"/>
  <c r="AF5" i="36"/>
  <c r="AG5" i="36"/>
  <c r="AH5" i="36"/>
  <c r="AI5" i="36"/>
  <c r="AJ5" i="36"/>
  <c r="AK5" i="36"/>
  <c r="AL5" i="36"/>
  <c r="AM5" i="36"/>
  <c r="AN5" i="36"/>
  <c r="AO5" i="36"/>
  <c r="AP5" i="36"/>
  <c r="AQ5" i="36"/>
  <c r="AR5" i="36"/>
  <c r="AS5" i="36"/>
  <c r="AT5" i="36"/>
  <c r="AU5" i="36"/>
  <c r="AV5" i="36"/>
  <c r="AW5" i="36"/>
  <c r="AX5" i="36"/>
  <c r="AY5" i="36"/>
  <c r="AZ5" i="36"/>
  <c r="BA5" i="36"/>
  <c r="BB5" i="36"/>
  <c r="BC5" i="36"/>
  <c r="E26" i="36"/>
  <c r="E14" i="36"/>
  <c r="E13" i="36"/>
  <c r="E6" i="36"/>
  <c r="E5" i="36"/>
  <c r="BC8" i="36" l="1"/>
  <c r="AZ8" i="36"/>
  <c r="AX8" i="36"/>
  <c r="AV8" i="36"/>
  <c r="AT8" i="36"/>
  <c r="AR8" i="36"/>
  <c r="AP8" i="36"/>
  <c r="AN8" i="36"/>
  <c r="AL8" i="36"/>
  <c r="AH8" i="36"/>
  <c r="AF8" i="36"/>
  <c r="AD8" i="36"/>
  <c r="AB8" i="36"/>
  <c r="Z8" i="36"/>
  <c r="V8" i="36"/>
  <c r="T8" i="36"/>
  <c r="R8" i="36"/>
  <c r="P8" i="36"/>
  <c r="N8" i="36"/>
  <c r="L8" i="36"/>
  <c r="J8" i="36"/>
  <c r="H8" i="36"/>
  <c r="F8" i="36"/>
  <c r="BB8" i="36"/>
  <c r="BA8" i="36"/>
  <c r="AY8" i="36"/>
  <c r="AW8" i="36"/>
  <c r="AU8" i="36"/>
  <c r="AS8" i="36"/>
  <c r="AQ8" i="36"/>
  <c r="AO8" i="36"/>
  <c r="AM8" i="36"/>
  <c r="AK8" i="36"/>
  <c r="AI8" i="36"/>
  <c r="AG8" i="36"/>
  <c r="AE8" i="36"/>
  <c r="AC8" i="36"/>
  <c r="AA8" i="36"/>
  <c r="Y8" i="36"/>
  <c r="W8" i="36"/>
  <c r="U8" i="36"/>
  <c r="S8" i="36"/>
  <c r="Q8" i="36"/>
  <c r="O8" i="36"/>
  <c r="M8" i="36"/>
  <c r="K8" i="36"/>
  <c r="I8" i="36"/>
  <c r="G8" i="36"/>
  <c r="BD35" i="38"/>
  <c r="BD25" i="37"/>
  <c r="BD14" i="36"/>
  <c r="BD5" i="36"/>
  <c r="BD6" i="36"/>
  <c r="BD13" i="36"/>
  <c r="BD31" i="38"/>
  <c r="BD29" i="38"/>
  <c r="BD27" i="38"/>
  <c r="BD36" i="38"/>
  <c r="BD29" i="37"/>
  <c r="BD30" i="38"/>
  <c r="BD28" i="38"/>
  <c r="BD37" i="38"/>
  <c r="E8" i="36"/>
  <c r="BD26" i="36"/>
  <c r="BF5" i="36"/>
  <c r="AJ8" i="36"/>
  <c r="BE5" i="36"/>
  <c r="BE6" i="36"/>
  <c r="X8" i="36"/>
  <c r="BE13" i="36"/>
  <c r="BE14" i="36"/>
  <c r="BE26" i="36"/>
  <c r="BF6" i="36"/>
  <c r="BF13" i="36"/>
  <c r="BF14" i="36"/>
  <c r="BF26" i="36"/>
  <c r="BE9" i="37"/>
  <c r="BE11" i="37"/>
  <c r="BE15" i="37"/>
  <c r="BE25" i="37"/>
  <c r="BE26" i="37"/>
  <c r="BF28" i="37"/>
  <c r="BE28" i="37"/>
  <c r="BD28" i="37"/>
  <c r="BE29" i="37"/>
  <c r="BE30" i="37"/>
  <c r="BE5" i="37"/>
  <c r="BE13" i="37"/>
  <c r="BE14" i="37"/>
  <c r="BD5" i="37"/>
  <c r="BD14" i="37"/>
  <c r="BD26" i="37"/>
  <c r="BD30" i="37"/>
  <c r="BF14" i="37"/>
  <c r="BF26" i="37"/>
  <c r="BF30" i="37"/>
  <c r="BD9" i="37"/>
  <c r="BD11" i="37"/>
  <c r="BD13" i="37"/>
  <c r="BD15" i="37"/>
  <c r="BF5" i="37"/>
  <c r="BF9" i="37"/>
  <c r="BF11" i="37"/>
  <c r="BF13" i="37"/>
  <c r="BF15" i="37"/>
  <c r="BF25" i="37"/>
  <c r="BF29" i="37"/>
  <c r="E39" i="38"/>
  <c r="BE27" i="38"/>
  <c r="BE28" i="38"/>
  <c r="BE29" i="38"/>
  <c r="BE30" i="38"/>
  <c r="BE31" i="38"/>
  <c r="BE35" i="38"/>
  <c r="BE36" i="38"/>
  <c r="BE37" i="38"/>
  <c r="X39" i="38"/>
  <c r="BF27" i="38"/>
  <c r="BF28" i="38"/>
  <c r="BF29" i="38"/>
  <c r="BF30" i="38"/>
  <c r="BF31" i="38"/>
  <c r="BF35" i="38"/>
  <c r="BF36" i="38"/>
  <c r="BF37" i="38"/>
  <c r="AJ39" i="38"/>
  <c r="F37" i="35"/>
  <c r="G37" i="35"/>
  <c r="H37" i="35"/>
  <c r="I37" i="35"/>
  <c r="J37" i="35"/>
  <c r="K37" i="35"/>
  <c r="L37" i="35"/>
  <c r="M37" i="35"/>
  <c r="N37" i="35"/>
  <c r="O37" i="35"/>
  <c r="P37" i="35"/>
  <c r="Q37" i="35"/>
  <c r="R37" i="35"/>
  <c r="S37" i="35"/>
  <c r="T37" i="35"/>
  <c r="U37" i="35"/>
  <c r="W37" i="35"/>
  <c r="W39" i="35" s="1"/>
  <c r="X37" i="35"/>
  <c r="Y37" i="35"/>
  <c r="Y39" i="35" s="1"/>
  <c r="Z37" i="35"/>
  <c r="Z39" i="35" s="1"/>
  <c r="AA37" i="35"/>
  <c r="AA39" i="35" s="1"/>
  <c r="AB37" i="35"/>
  <c r="AB39" i="35" s="1"/>
  <c r="AC37" i="35"/>
  <c r="AD37" i="35"/>
  <c r="AD39" i="35" s="1"/>
  <c r="AE37" i="35"/>
  <c r="AE39" i="35" s="1"/>
  <c r="AF37" i="35"/>
  <c r="AG37" i="35"/>
  <c r="AG39" i="35" s="1"/>
  <c r="AH37" i="35"/>
  <c r="AH39" i="35" s="1"/>
  <c r="AI37" i="35"/>
  <c r="AI39" i="35" s="1"/>
  <c r="AJ37" i="35"/>
  <c r="AK37" i="35"/>
  <c r="AK39" i="35" s="1"/>
  <c r="AL37" i="35"/>
  <c r="AL39" i="35" s="1"/>
  <c r="AM37" i="35"/>
  <c r="AM39" i="35" s="1"/>
  <c r="AN37" i="35"/>
  <c r="AN39" i="35" s="1"/>
  <c r="AO37" i="35"/>
  <c r="AO39" i="35" s="1"/>
  <c r="AP37" i="35"/>
  <c r="AP39" i="35" s="1"/>
  <c r="AQ37" i="35"/>
  <c r="AQ39" i="35" s="1"/>
  <c r="AR37" i="35"/>
  <c r="AR39" i="35" s="1"/>
  <c r="AS37" i="35"/>
  <c r="AS39" i="35" s="1"/>
  <c r="AT37" i="35"/>
  <c r="AT39" i="35" s="1"/>
  <c r="AU37" i="35"/>
  <c r="AU39" i="35" s="1"/>
  <c r="AV37" i="35"/>
  <c r="AV39" i="35" s="1"/>
  <c r="AW37" i="35"/>
  <c r="AW39" i="35" s="1"/>
  <c r="AW41" i="35" s="1"/>
  <c r="AW24" i="40" s="1"/>
  <c r="AX37" i="35"/>
  <c r="AX39" i="35" s="1"/>
  <c r="AY37" i="35"/>
  <c r="AY39" i="35" s="1"/>
  <c r="AZ37" i="35"/>
  <c r="AZ39" i="35" s="1"/>
  <c r="BA37" i="35"/>
  <c r="BA39" i="35" s="1"/>
  <c r="V39" i="35"/>
  <c r="AC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N25"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F10" i="35"/>
  <c r="G10" i="35"/>
  <c r="G15" i="35" s="1"/>
  <c r="H10" i="35"/>
  <c r="I10" i="35"/>
  <c r="I15" i="35" s="1"/>
  <c r="J10" i="35"/>
  <c r="K10" i="35"/>
  <c r="K15" i="35" s="1"/>
  <c r="L10" i="35"/>
  <c r="M10" i="35"/>
  <c r="N10" i="35"/>
  <c r="O10" i="35"/>
  <c r="O15" i="35" s="1"/>
  <c r="P10" i="35"/>
  <c r="Q10" i="35"/>
  <c r="Q15" i="35" s="1"/>
  <c r="R10" i="35"/>
  <c r="S10" i="35"/>
  <c r="S15" i="35" s="1"/>
  <c r="T10" i="35"/>
  <c r="U10" i="35"/>
  <c r="V10" i="35"/>
  <c r="W10" i="35"/>
  <c r="W15" i="35" s="1"/>
  <c r="X10" i="35"/>
  <c r="Y10" i="35"/>
  <c r="Y15" i="35" s="1"/>
  <c r="Z10" i="35"/>
  <c r="AA10" i="35"/>
  <c r="AA15" i="35" s="1"/>
  <c r="AB10" i="35"/>
  <c r="AC10" i="35"/>
  <c r="AC15" i="35" s="1"/>
  <c r="AD10" i="35"/>
  <c r="AE10" i="35"/>
  <c r="AE15" i="35" s="1"/>
  <c r="AF10" i="35"/>
  <c r="AG10" i="35"/>
  <c r="AG15" i="35" s="1"/>
  <c r="AH10" i="35"/>
  <c r="AI10" i="35"/>
  <c r="AI15" i="35" s="1"/>
  <c r="AJ10" i="35"/>
  <c r="AK10" i="35"/>
  <c r="AK15" i="35" s="1"/>
  <c r="AL10" i="35"/>
  <c r="AM10" i="35"/>
  <c r="AM15" i="35" s="1"/>
  <c r="AN10" i="35"/>
  <c r="AO10" i="35"/>
  <c r="AP10" i="35"/>
  <c r="AQ10" i="35"/>
  <c r="AQ15" i="35" s="1"/>
  <c r="AR10" i="35"/>
  <c r="AS10" i="35"/>
  <c r="AS15" i="35" s="1"/>
  <c r="AT10" i="35"/>
  <c r="AU10" i="35"/>
  <c r="AU15" i="35" s="1"/>
  <c r="AV10" i="35"/>
  <c r="AW10" i="35"/>
  <c r="AW15" i="35" s="1"/>
  <c r="AX10" i="35"/>
  <c r="AY10" i="35"/>
  <c r="AY15" i="35" s="1"/>
  <c r="AZ10" i="35"/>
  <c r="BA10" i="35"/>
  <c r="BA15" i="35" s="1"/>
  <c r="BB10" i="35"/>
  <c r="BB15" i="35" s="1"/>
  <c r="BC10" i="35"/>
  <c r="BD8" i="36" l="1"/>
  <c r="BE8" i="36"/>
  <c r="BF8" i="36"/>
  <c r="BC15" i="35"/>
  <c r="AX15" i="35"/>
  <c r="AX10" i="39" s="1"/>
  <c r="AV15" i="35"/>
  <c r="AV10" i="39" s="1"/>
  <c r="AT15" i="35"/>
  <c r="AP15" i="35"/>
  <c r="AN15" i="35"/>
  <c r="AL15" i="35"/>
  <c r="AL10" i="39" s="1"/>
  <c r="AJ15" i="35"/>
  <c r="AH15" i="35"/>
  <c r="AH10" i="39" s="1"/>
  <c r="AF15" i="35"/>
  <c r="AD15" i="35"/>
  <c r="Z15" i="35"/>
  <c r="V15" i="35"/>
  <c r="V10" i="39" s="1"/>
  <c r="T15" i="35"/>
  <c r="T10" i="39" s="1"/>
  <c r="R15" i="35"/>
  <c r="R10" i="39" s="1"/>
  <c r="P15" i="35"/>
  <c r="P10" i="39" s="1"/>
  <c r="N15" i="35"/>
  <c r="L15" i="35"/>
  <c r="L10" i="39" s="1"/>
  <c r="J15" i="35"/>
  <c r="J10" i="39" s="1"/>
  <c r="H15" i="35"/>
  <c r="H10" i="39" s="1"/>
  <c r="AO15" i="35"/>
  <c r="AO10" i="39" s="1"/>
  <c r="AF39" i="35"/>
  <c r="U39" i="35"/>
  <c r="S39" i="35"/>
  <c r="Q39" i="35"/>
  <c r="O39" i="35"/>
  <c r="M39" i="35"/>
  <c r="K39" i="35"/>
  <c r="I39" i="35"/>
  <c r="G39" i="35"/>
  <c r="T39" i="35"/>
  <c r="R39" i="35"/>
  <c r="P39" i="35"/>
  <c r="N39" i="35"/>
  <c r="L39" i="35"/>
  <c r="J39" i="35"/>
  <c r="H39" i="35"/>
  <c r="AR15" i="35"/>
  <c r="AR10" i="39" s="1"/>
  <c r="AB15" i="35"/>
  <c r="AB10" i="39" s="1"/>
  <c r="U15" i="35"/>
  <c r="U10" i="39" s="1"/>
  <c r="M15" i="35"/>
  <c r="M10" i="39" s="1"/>
  <c r="AZ15" i="35"/>
  <c r="AZ10" i="39" s="1"/>
  <c r="BC10" i="39"/>
  <c r="AN10" i="39"/>
  <c r="AF10" i="39"/>
  <c r="Y10" i="39"/>
  <c r="Q10" i="39"/>
  <c r="I10" i="39"/>
  <c r="AJ10" i="39"/>
  <c r="AT10" i="39"/>
  <c r="AP10" i="39"/>
  <c r="BF10" i="35"/>
  <c r="AD10" i="39"/>
  <c r="W10" i="39"/>
  <c r="S10" i="39"/>
  <c r="O10" i="39"/>
  <c r="K10" i="39"/>
  <c r="G10" i="39"/>
  <c r="BF11" i="35"/>
  <c r="BF12" i="35"/>
  <c r="BF13" i="35"/>
  <c r="BF27" i="35"/>
  <c r="BF28" i="35"/>
  <c r="BF29" i="35"/>
  <c r="BF30" i="35"/>
  <c r="BF31" i="35"/>
  <c r="BF32" i="35"/>
  <c r="BF36" i="35"/>
  <c r="AJ39" i="35"/>
  <c r="BB10" i="39"/>
  <c r="BA10" i="39"/>
  <c r="AY10" i="39"/>
  <c r="AW10" i="39"/>
  <c r="AU10" i="39"/>
  <c r="AS10" i="39"/>
  <c r="AQ10" i="39"/>
  <c r="AM10" i="39"/>
  <c r="AK10" i="39"/>
  <c r="AI10" i="39"/>
  <c r="AG10" i="39"/>
  <c r="AE10" i="39"/>
  <c r="AC10" i="39"/>
  <c r="AA10" i="39"/>
  <c r="Z10" i="39"/>
  <c r="N10" i="39"/>
  <c r="BE10" i="35"/>
  <c r="BD10" i="35"/>
  <c r="BE11" i="35"/>
  <c r="BD11" i="35"/>
  <c r="BE12" i="35"/>
  <c r="BD12" i="35"/>
  <c r="BE13" i="35"/>
  <c r="BD13" i="35"/>
  <c r="X15" i="35"/>
  <c r="F15" i="35"/>
  <c r="BE27" i="35"/>
  <c r="BD27" i="35"/>
  <c r="BE28" i="35"/>
  <c r="BD28" i="35"/>
  <c r="BE29" i="35"/>
  <c r="BD29" i="35"/>
  <c r="BE30" i="35"/>
  <c r="BD30" i="35"/>
  <c r="BE31" i="35"/>
  <c r="BD31" i="35"/>
  <c r="BE32" i="35"/>
  <c r="BD32" i="35"/>
  <c r="BE36" i="35"/>
  <c r="BD36" i="35"/>
  <c r="BE37" i="35"/>
  <c r="BD37" i="35"/>
  <c r="X39" i="35"/>
  <c r="F39" i="35"/>
  <c r="BE39" i="38"/>
  <c r="BF39" i="38"/>
  <c r="BD39" i="38"/>
  <c r="BF15" i="35" l="1"/>
  <c r="BD39" i="35"/>
  <c r="BD15" i="35"/>
  <c r="F10" i="39"/>
  <c r="BF10" i="39"/>
  <c r="BE39" i="35"/>
  <c r="X10" i="39"/>
  <c r="BE15" i="35"/>
  <c r="C53" i="13"/>
  <c r="BD10" i="39" l="1"/>
  <c r="BE10" i="39"/>
  <c r="D13" i="35"/>
  <c r="D14" i="36"/>
  <c r="D12" i="35" l="1"/>
  <c r="BF61" i="42"/>
  <c r="BE61" i="42"/>
  <c r="BG58" i="42"/>
  <c r="BF58" i="42"/>
  <c r="BE58" i="42"/>
  <c r="BD58" i="42"/>
  <c r="D9" i="37"/>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BD3" i="42"/>
  <c r="D10" i="38" s="1"/>
  <c r="BF3" i="42"/>
  <c r="BE3" i="42"/>
  <c r="BG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K5" i="22"/>
  <c r="AL5" i="22"/>
  <c r="AM5" i="22"/>
  <c r="AN5" i="22"/>
  <c r="AO5" i="22"/>
  <c r="AP5" i="22"/>
  <c r="AQ5" i="22"/>
  <c r="AR5" i="22"/>
  <c r="AS5" i="22"/>
  <c r="AT5" i="22"/>
  <c r="AU5" i="22"/>
  <c r="AV5" i="22"/>
  <c r="AW5" i="22"/>
  <c r="AX5" i="22"/>
  <c r="AY5" i="22"/>
  <c r="AZ5" i="22"/>
  <c r="BA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C41" i="22"/>
  <c r="C37" i="22"/>
  <c r="C33" i="22"/>
  <c r="C29" i="22"/>
  <c r="C25" i="22"/>
  <c r="C21" i="22"/>
  <c r="C17" i="22"/>
  <c r="C13" i="22"/>
  <c r="C9" i="22"/>
  <c r="C5" i="22"/>
  <c r="M45" i="22" l="1"/>
  <c r="BG171" i="34" l="1"/>
  <c r="BG172" i="34"/>
  <c r="BG173" i="34"/>
  <c r="BG174" i="34"/>
  <c r="BG175" i="34"/>
  <c r="BG176" i="34"/>
  <c r="BF171" i="34"/>
  <c r="BF172" i="34"/>
  <c r="BF173" i="34"/>
  <c r="BF174" i="34"/>
  <c r="BF175" i="34"/>
  <c r="BF176" i="34"/>
  <c r="BE171" i="34"/>
  <c r="BE172" i="34"/>
  <c r="BE173" i="34"/>
  <c r="BE174" i="34"/>
  <c r="BE175" i="34"/>
  <c r="BE176" i="34"/>
  <c r="BD171" i="34"/>
  <c r="BD172" i="34"/>
  <c r="BD173" i="34"/>
  <c r="BD174" i="34"/>
  <c r="BD175" i="34"/>
  <c r="BD176" i="34"/>
  <c r="BG160" i="34"/>
  <c r="BG161" i="34"/>
  <c r="BG162" i="34"/>
  <c r="BG163" i="34"/>
  <c r="BG164" i="34"/>
  <c r="BG165" i="34"/>
  <c r="BG166" i="34"/>
  <c r="BG167" i="34"/>
  <c r="BF160" i="34"/>
  <c r="BF161" i="34"/>
  <c r="BF162" i="34"/>
  <c r="BF163" i="34"/>
  <c r="BF164" i="34"/>
  <c r="BF165" i="34"/>
  <c r="BF166" i="34"/>
  <c r="BF167" i="34"/>
  <c r="BE160" i="34"/>
  <c r="BE161" i="34"/>
  <c r="BE162" i="34"/>
  <c r="BE163" i="34"/>
  <c r="BE164" i="34"/>
  <c r="BE165" i="34"/>
  <c r="BE166" i="34"/>
  <c r="BE167" i="34"/>
  <c r="BD160" i="34"/>
  <c r="BD161" i="34"/>
  <c r="BD162" i="34"/>
  <c r="BD163" i="34"/>
  <c r="BD164" i="34"/>
  <c r="BD165" i="34"/>
  <c r="BD166" i="34"/>
  <c r="BD167" i="34"/>
  <c r="BG149" i="34"/>
  <c r="BG150" i="34"/>
  <c r="BG151" i="34"/>
  <c r="BG152" i="34"/>
  <c r="BG153" i="34"/>
  <c r="BG154" i="34"/>
  <c r="BG155" i="34"/>
  <c r="BG156" i="34"/>
  <c r="BF149" i="34"/>
  <c r="BF150" i="34"/>
  <c r="BF151" i="34"/>
  <c r="BF152" i="34"/>
  <c r="BF153" i="34"/>
  <c r="BF154" i="34"/>
  <c r="BF155" i="34"/>
  <c r="BF156" i="34"/>
  <c r="BE149" i="34"/>
  <c r="BE150" i="34"/>
  <c r="BE151" i="34"/>
  <c r="BE152" i="34"/>
  <c r="BE153" i="34"/>
  <c r="BE154" i="34"/>
  <c r="BE155" i="34"/>
  <c r="BE156" i="34"/>
  <c r="BD149" i="34"/>
  <c r="BD150" i="34"/>
  <c r="BD151" i="34"/>
  <c r="BD152" i="34"/>
  <c r="BD153" i="34"/>
  <c r="BD154" i="34"/>
  <c r="BD155" i="34"/>
  <c r="BD156" i="34"/>
  <c r="BG138" i="34"/>
  <c r="BG139" i="34"/>
  <c r="BG140" i="34"/>
  <c r="BG141" i="34"/>
  <c r="BG142" i="34"/>
  <c r="BG143" i="34"/>
  <c r="BG144" i="34"/>
  <c r="BG145" i="34"/>
  <c r="BF138" i="34"/>
  <c r="BF139" i="34"/>
  <c r="BF140" i="34"/>
  <c r="BF141" i="34"/>
  <c r="BF142" i="34"/>
  <c r="BF143" i="34"/>
  <c r="BF144" i="34"/>
  <c r="BF145" i="34"/>
  <c r="BE138" i="34"/>
  <c r="BE139" i="34"/>
  <c r="BE140" i="34"/>
  <c r="BE141" i="34"/>
  <c r="BE142" i="34"/>
  <c r="BE143" i="34"/>
  <c r="BE144" i="34"/>
  <c r="BE145" i="34"/>
  <c r="BD138" i="34"/>
  <c r="BD139" i="34"/>
  <c r="BD140" i="34"/>
  <c r="BD141" i="34"/>
  <c r="BD142" i="34"/>
  <c r="BD143" i="34"/>
  <c r="BD144" i="34"/>
  <c r="BD145" i="34"/>
  <c r="BG116" i="34"/>
  <c r="BG117" i="34"/>
  <c r="BG118" i="34"/>
  <c r="BG119" i="34"/>
  <c r="BG120" i="34"/>
  <c r="BG121" i="34"/>
  <c r="BG122" i="34"/>
  <c r="BG123" i="34"/>
  <c r="BF116" i="34"/>
  <c r="BF117" i="34"/>
  <c r="BF118" i="34"/>
  <c r="BF119" i="34"/>
  <c r="BF120" i="34"/>
  <c r="BF121" i="34"/>
  <c r="BF122" i="34"/>
  <c r="BF123" i="34"/>
  <c r="BE116" i="34"/>
  <c r="BE117" i="34"/>
  <c r="BE118" i="34"/>
  <c r="BE119" i="34"/>
  <c r="BE120" i="34"/>
  <c r="BE121" i="34"/>
  <c r="BE122" i="34"/>
  <c r="BE123" i="34"/>
  <c r="BD116" i="34"/>
  <c r="BD117" i="34"/>
  <c r="BD118" i="34"/>
  <c r="BD119" i="34"/>
  <c r="BD120" i="34"/>
  <c r="BD121" i="34"/>
  <c r="BD122" i="34"/>
  <c r="BD123" i="34"/>
  <c r="BG101" i="34"/>
  <c r="BG102" i="34"/>
  <c r="BG103" i="34"/>
  <c r="BG104" i="34"/>
  <c r="BG105" i="34"/>
  <c r="BG106" i="34"/>
  <c r="BG107" i="34"/>
  <c r="BF101" i="34"/>
  <c r="BF102" i="34"/>
  <c r="BF103" i="34"/>
  <c r="BF104" i="34"/>
  <c r="BF105" i="34"/>
  <c r="BF106" i="34"/>
  <c r="BF107" i="34"/>
  <c r="BE101" i="34"/>
  <c r="BE102" i="34"/>
  <c r="BE103" i="34"/>
  <c r="BE104" i="34"/>
  <c r="BE105" i="34"/>
  <c r="BE106" i="34"/>
  <c r="BE107" i="34"/>
  <c r="BD101" i="34"/>
  <c r="BD102" i="34"/>
  <c r="BD103" i="34"/>
  <c r="BD104" i="34"/>
  <c r="BD105" i="34"/>
  <c r="BD106" i="34"/>
  <c r="BD107" i="34"/>
  <c r="BG91" i="34"/>
  <c r="BG92" i="34"/>
  <c r="BG93" i="34"/>
  <c r="BG94" i="34"/>
  <c r="BG95" i="34"/>
  <c r="BG96" i="34"/>
  <c r="BG97" i="34"/>
  <c r="BF91" i="34"/>
  <c r="BF92" i="34"/>
  <c r="BF93" i="34"/>
  <c r="BF94" i="34"/>
  <c r="BF95" i="34"/>
  <c r="BF96" i="34"/>
  <c r="BF97" i="34"/>
  <c r="BE91" i="34"/>
  <c r="BE92" i="34"/>
  <c r="BE93" i="34"/>
  <c r="BE94" i="34"/>
  <c r="BE95" i="34"/>
  <c r="BE96" i="34"/>
  <c r="BE97" i="34"/>
  <c r="BD91" i="34"/>
  <c r="BD92" i="34"/>
  <c r="BD93" i="34"/>
  <c r="BD94" i="34"/>
  <c r="BD95" i="34"/>
  <c r="BD96" i="34"/>
  <c r="BD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C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G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F114" i="34"/>
  <c r="G114" i="34"/>
  <c r="H114" i="34"/>
  <c r="I114" i="34"/>
  <c r="J114" i="34"/>
  <c r="K114" i="34"/>
  <c r="L114" i="34"/>
  <c r="N114" i="34"/>
  <c r="O114" i="34"/>
  <c r="P114" i="34"/>
  <c r="Q114" i="34"/>
  <c r="R114" i="34"/>
  <c r="S114" i="34"/>
  <c r="T114" i="34"/>
  <c r="U114" i="34"/>
  <c r="V114" i="34"/>
  <c r="W114" i="34"/>
  <c r="X114" i="34"/>
  <c r="Y114" i="34"/>
  <c r="Z114" i="34"/>
  <c r="AA114" i="34"/>
  <c r="AB114" i="34"/>
  <c r="AD114" i="34"/>
  <c r="AE114" i="34"/>
  <c r="AF114" i="34"/>
  <c r="AG114" i="34"/>
  <c r="AH114" i="34"/>
  <c r="AI114" i="34"/>
  <c r="AJ114" i="34"/>
  <c r="AK114" i="34"/>
  <c r="AL114" i="34"/>
  <c r="AM114" i="34"/>
  <c r="AN114" i="34"/>
  <c r="AO114" i="34"/>
  <c r="AP114" i="34"/>
  <c r="AQ114" i="34"/>
  <c r="AR114" i="34"/>
  <c r="AS114" i="34"/>
  <c r="AT114" i="34"/>
  <c r="AU114" i="34"/>
  <c r="AW114" i="34"/>
  <c r="AX114" i="34"/>
  <c r="AY114" i="34"/>
  <c r="AZ114" i="34"/>
  <c r="BA114" i="34"/>
  <c r="BB114" i="34"/>
  <c r="BC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N99" i="34"/>
  <c r="AO99" i="34"/>
  <c r="AP99" i="34"/>
  <c r="AQ99" i="34"/>
  <c r="AR99" i="34"/>
  <c r="AS99" i="34"/>
  <c r="AT99" i="34"/>
  <c r="AU99" i="34"/>
  <c r="AV99" i="34"/>
  <c r="AW99" i="34"/>
  <c r="AX99" i="34"/>
  <c r="AY99" i="34"/>
  <c r="BA99" i="34"/>
  <c r="BB99" i="34"/>
  <c r="BC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M89" i="34"/>
  <c r="AN89" i="34"/>
  <c r="AO89" i="34"/>
  <c r="AP89" i="34"/>
  <c r="AQ89" i="34"/>
  <c r="AR89" i="34"/>
  <c r="AS89" i="34"/>
  <c r="AT89" i="34"/>
  <c r="AU89" i="34"/>
  <c r="AV89" i="34"/>
  <c r="AW89" i="34"/>
  <c r="AY89" i="34"/>
  <c r="AZ89" i="34"/>
  <c r="BA89" i="34"/>
  <c r="BB89" i="34"/>
  <c r="BC89" i="34"/>
  <c r="BG66" i="34"/>
  <c r="BG67" i="34"/>
  <c r="BG68" i="34"/>
  <c r="BG69" i="34"/>
  <c r="BG70" i="34"/>
  <c r="BG71" i="34"/>
  <c r="BG72" i="34"/>
  <c r="BG73" i="34"/>
  <c r="BF66" i="34"/>
  <c r="BF67" i="34"/>
  <c r="BF68" i="34"/>
  <c r="BF69" i="34"/>
  <c r="BF70" i="34"/>
  <c r="BF71" i="34"/>
  <c r="BF72" i="34"/>
  <c r="BF73" i="34"/>
  <c r="BE66" i="34"/>
  <c r="BE67" i="34"/>
  <c r="BE68" i="34"/>
  <c r="BE69" i="34"/>
  <c r="BE70" i="34"/>
  <c r="BE71" i="34"/>
  <c r="BE72" i="34"/>
  <c r="BE73" i="34"/>
  <c r="BD66" i="34"/>
  <c r="BD67" i="34"/>
  <c r="BD68" i="34"/>
  <c r="BD69" i="34"/>
  <c r="BD70" i="34"/>
  <c r="BD71" i="34"/>
  <c r="BD72" i="34"/>
  <c r="BD73" i="34"/>
  <c r="BG55" i="34"/>
  <c r="BG56" i="34"/>
  <c r="BG57" i="34"/>
  <c r="BG58" i="34"/>
  <c r="BG59" i="34"/>
  <c r="BG60" i="34"/>
  <c r="BG61" i="34"/>
  <c r="BG62" i="34"/>
  <c r="BF55" i="34"/>
  <c r="BF56" i="34"/>
  <c r="BF57" i="34"/>
  <c r="BF58" i="34"/>
  <c r="BF59" i="34"/>
  <c r="BF60" i="34"/>
  <c r="BF61" i="34"/>
  <c r="BF62" i="34"/>
  <c r="BE55" i="34"/>
  <c r="BE56" i="34"/>
  <c r="BE57" i="34"/>
  <c r="BE58" i="34"/>
  <c r="BE59" i="34"/>
  <c r="BE60" i="34"/>
  <c r="BE61" i="34"/>
  <c r="BE62" i="34"/>
  <c r="BD55" i="34"/>
  <c r="BD56" i="34"/>
  <c r="BD57" i="34"/>
  <c r="BD58" i="34"/>
  <c r="BD59" i="34"/>
  <c r="BD60" i="34"/>
  <c r="BD61" i="34"/>
  <c r="BD62" i="34"/>
  <c r="BG44" i="34"/>
  <c r="BG45" i="34"/>
  <c r="BG46" i="34"/>
  <c r="BG47" i="34"/>
  <c r="BG48" i="34"/>
  <c r="BG49" i="34"/>
  <c r="BG50" i="34"/>
  <c r="BG51" i="34"/>
  <c r="BF44" i="34"/>
  <c r="BF45" i="34"/>
  <c r="BF46" i="34"/>
  <c r="BF47" i="34"/>
  <c r="BF48" i="34"/>
  <c r="BF49" i="34"/>
  <c r="BF50" i="34"/>
  <c r="BF51" i="34"/>
  <c r="BE44" i="34"/>
  <c r="BE45" i="34"/>
  <c r="BE46" i="34"/>
  <c r="BE47" i="34"/>
  <c r="BE48" i="34"/>
  <c r="BE49" i="34"/>
  <c r="BE50" i="34"/>
  <c r="BE51" i="34"/>
  <c r="BD44" i="34"/>
  <c r="BD45" i="34"/>
  <c r="BD46" i="34"/>
  <c r="BD47" i="34"/>
  <c r="BD48" i="34"/>
  <c r="BD49" i="34"/>
  <c r="BD50" i="34"/>
  <c r="BD51" i="34"/>
  <c r="BG33" i="34"/>
  <c r="BG34" i="34"/>
  <c r="BG35" i="34"/>
  <c r="BG36" i="34"/>
  <c r="BG37" i="34"/>
  <c r="BG38" i="34"/>
  <c r="BG39" i="34"/>
  <c r="BG40" i="34"/>
  <c r="BF33" i="34"/>
  <c r="BF34" i="34"/>
  <c r="BF35" i="34"/>
  <c r="BF36" i="34"/>
  <c r="BF37" i="34"/>
  <c r="BF38" i="34"/>
  <c r="BF39" i="34"/>
  <c r="BF40" i="34"/>
  <c r="BE33" i="34"/>
  <c r="BE34" i="34"/>
  <c r="BE35" i="34"/>
  <c r="BE36" i="34"/>
  <c r="BE37" i="34"/>
  <c r="BE38" i="34"/>
  <c r="BE39" i="34"/>
  <c r="BE40" i="34"/>
  <c r="BD33" i="34"/>
  <c r="BD34" i="34"/>
  <c r="BD35" i="34"/>
  <c r="BD36" i="34"/>
  <c r="BD37" i="34"/>
  <c r="BD38" i="34"/>
  <c r="BD39" i="34"/>
  <c r="BD40" i="34"/>
  <c r="BG28" i="34"/>
  <c r="BG29" i="34"/>
  <c r="BF28" i="34"/>
  <c r="BF29" i="34"/>
  <c r="BE28" i="34"/>
  <c r="BE29" i="34"/>
  <c r="BD28" i="34"/>
  <c r="BD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F6" i="34"/>
  <c r="F5" i="34" s="1"/>
  <c r="G6" i="34"/>
  <c r="H6" i="34"/>
  <c r="H5" i="34" s="1"/>
  <c r="I6" i="34"/>
  <c r="J6" i="34"/>
  <c r="J5" i="34" s="1"/>
  <c r="K6" i="34"/>
  <c r="L6" i="34"/>
  <c r="L5" i="34" s="1"/>
  <c r="M6" i="34"/>
  <c r="N6" i="34"/>
  <c r="N5" i="34" s="1"/>
  <c r="O6" i="34"/>
  <c r="P6" i="34"/>
  <c r="P5" i="34" s="1"/>
  <c r="Q6" i="34"/>
  <c r="R6" i="34"/>
  <c r="R5" i="34" s="1"/>
  <c r="S6" i="34"/>
  <c r="T6" i="34"/>
  <c r="T5" i="34" s="1"/>
  <c r="U6" i="34"/>
  <c r="V6" i="34"/>
  <c r="V5" i="34" s="1"/>
  <c r="W6" i="34"/>
  <c r="X6" i="34"/>
  <c r="X5" i="34" s="1"/>
  <c r="Y6" i="34"/>
  <c r="Z6" i="34"/>
  <c r="Z5" i="34" s="1"/>
  <c r="AA6" i="34"/>
  <c r="AB6" i="34"/>
  <c r="AB5" i="34" s="1"/>
  <c r="AC6" i="34"/>
  <c r="AD6" i="34"/>
  <c r="AD5" i="34" s="1"/>
  <c r="AE6" i="34"/>
  <c r="AF6" i="34"/>
  <c r="AF5" i="34" s="1"/>
  <c r="AG6" i="34"/>
  <c r="AH6" i="34"/>
  <c r="AH5" i="34" s="1"/>
  <c r="AI6" i="34"/>
  <c r="AJ6" i="34"/>
  <c r="AJ5" i="34" s="1"/>
  <c r="AK6" i="34"/>
  <c r="AL6" i="34"/>
  <c r="AL5" i="34" s="1"/>
  <c r="AM6" i="34"/>
  <c r="AN6" i="34"/>
  <c r="AN5" i="34" s="1"/>
  <c r="AO6" i="34"/>
  <c r="AP6" i="34"/>
  <c r="AP5" i="34" s="1"/>
  <c r="AQ6" i="34"/>
  <c r="AQ5" i="34" s="1"/>
  <c r="AR6" i="34"/>
  <c r="AR5" i="34" s="1"/>
  <c r="AS6" i="34"/>
  <c r="AS5" i="34" s="1"/>
  <c r="AT6" i="34"/>
  <c r="AT5" i="34" s="1"/>
  <c r="AU6" i="34"/>
  <c r="AU5" i="34" s="1"/>
  <c r="AV6" i="34"/>
  <c r="AV5" i="34" s="1"/>
  <c r="AW6" i="34"/>
  <c r="AX6" i="34"/>
  <c r="AX5" i="34" s="1"/>
  <c r="AY6" i="34"/>
  <c r="AY5" i="34" s="1"/>
  <c r="AZ6" i="34"/>
  <c r="AZ5" i="34" s="1"/>
  <c r="BA6" i="34"/>
  <c r="BA5" i="34" s="1"/>
  <c r="BB6" i="34"/>
  <c r="BB5" i="34" s="1"/>
  <c r="BC6" i="34"/>
  <c r="BC5" i="34" s="1"/>
  <c r="E109" i="34"/>
  <c r="E178" i="34"/>
  <c r="E169" i="34"/>
  <c r="E158" i="34"/>
  <c r="E147" i="34"/>
  <c r="E136" i="34"/>
  <c r="E125" i="34"/>
  <c r="E114" i="34"/>
  <c r="E99" i="34"/>
  <c r="E89" i="34"/>
  <c r="E83" i="34"/>
  <c r="E75" i="34"/>
  <c r="E64" i="34"/>
  <c r="E53" i="34"/>
  <c r="E42" i="34"/>
  <c r="E31" i="34"/>
  <c r="E26" i="34"/>
  <c r="E16" i="34"/>
  <c r="E6" i="34"/>
  <c r="BD65" i="34"/>
  <c r="BE65" i="34"/>
  <c r="BF65" i="34"/>
  <c r="BG65" i="34"/>
  <c r="BG179" i="34"/>
  <c r="BG178" i="34" s="1"/>
  <c r="BF179" i="34"/>
  <c r="BF178" i="34" s="1"/>
  <c r="BE179" i="34"/>
  <c r="BE178" i="34" s="1"/>
  <c r="BD179" i="34"/>
  <c r="BD178" i="34" s="1"/>
  <c r="BG170" i="34"/>
  <c r="BF170" i="34"/>
  <c r="BE170" i="34"/>
  <c r="BD170" i="34"/>
  <c r="BG159" i="34"/>
  <c r="BF159" i="34"/>
  <c r="BE159" i="34"/>
  <c r="BD159" i="34"/>
  <c r="BG148" i="34"/>
  <c r="BF148" i="34"/>
  <c r="BE148" i="34"/>
  <c r="BD148" i="34"/>
  <c r="BG137" i="34"/>
  <c r="BF137" i="34"/>
  <c r="BE137" i="34"/>
  <c r="BD137" i="34"/>
  <c r="BG134" i="34"/>
  <c r="BF134" i="34"/>
  <c r="BE134" i="34"/>
  <c r="BD134" i="34"/>
  <c r="BG133" i="34"/>
  <c r="BF133" i="34"/>
  <c r="BE133" i="34"/>
  <c r="BD133" i="34"/>
  <c r="BG132" i="34"/>
  <c r="BF132" i="34"/>
  <c r="BE132" i="34"/>
  <c r="BD132" i="34"/>
  <c r="BG131" i="34"/>
  <c r="BF131" i="34"/>
  <c r="BE131" i="34"/>
  <c r="BD131" i="34"/>
  <c r="BG130" i="34"/>
  <c r="BF130" i="34"/>
  <c r="BE130" i="34"/>
  <c r="BD130" i="34"/>
  <c r="BG129" i="34"/>
  <c r="BF129" i="34"/>
  <c r="BE129" i="34"/>
  <c r="BD129" i="34"/>
  <c r="BG128" i="34"/>
  <c r="BF128" i="34"/>
  <c r="BE128" i="34"/>
  <c r="BD128" i="34"/>
  <c r="BG127" i="34"/>
  <c r="BF127" i="34"/>
  <c r="BE127" i="34"/>
  <c r="BD127" i="34"/>
  <c r="BG126" i="34"/>
  <c r="BG125" i="34" s="1"/>
  <c r="BF126" i="34"/>
  <c r="BF125" i="34" s="1"/>
  <c r="BE126" i="34"/>
  <c r="BE125" i="34" s="1"/>
  <c r="BD126" i="34"/>
  <c r="BD125" i="34" s="1"/>
  <c r="BG115" i="34"/>
  <c r="BF115" i="34"/>
  <c r="BE115" i="34"/>
  <c r="BD115" i="34"/>
  <c r="BG112" i="34"/>
  <c r="BF112" i="34"/>
  <c r="BE112" i="34"/>
  <c r="BD112" i="34"/>
  <c r="BG111" i="34"/>
  <c r="BF111" i="34"/>
  <c r="BE111" i="34"/>
  <c r="BD111" i="34"/>
  <c r="BG110" i="34"/>
  <c r="BF110" i="34"/>
  <c r="BF109" i="34" s="1"/>
  <c r="BE110" i="34"/>
  <c r="BD110" i="34"/>
  <c r="BG100" i="34"/>
  <c r="BF100" i="34"/>
  <c r="BE100" i="34"/>
  <c r="BD100" i="34"/>
  <c r="BG90" i="34"/>
  <c r="BF90" i="34"/>
  <c r="BE90" i="34"/>
  <c r="BD90" i="34"/>
  <c r="BG84" i="34"/>
  <c r="BG83" i="34" s="1"/>
  <c r="BF84" i="34"/>
  <c r="BF83" i="34" s="1"/>
  <c r="BE84" i="34"/>
  <c r="BE83" i="34" s="1"/>
  <c r="BD84" i="34"/>
  <c r="BB61" i="42" s="1"/>
  <c r="BB37" i="35" s="1"/>
  <c r="BB39" i="35" s="1"/>
  <c r="BG81" i="34"/>
  <c r="BF81" i="34"/>
  <c r="BE81" i="34"/>
  <c r="BD81" i="34"/>
  <c r="BG80" i="34"/>
  <c r="BF80" i="34"/>
  <c r="BE80" i="34"/>
  <c r="BD80" i="34"/>
  <c r="BG79" i="34"/>
  <c r="BF79" i="34"/>
  <c r="BE79" i="34"/>
  <c r="BD79" i="34"/>
  <c r="BG78" i="34"/>
  <c r="BF78" i="34"/>
  <c r="BE78" i="34"/>
  <c r="BD78" i="34"/>
  <c r="BG77" i="34"/>
  <c r="BF77" i="34"/>
  <c r="BE77" i="34"/>
  <c r="BD77" i="34"/>
  <c r="BG76" i="34"/>
  <c r="BG75" i="34" s="1"/>
  <c r="BF76" i="34"/>
  <c r="BF75" i="34" s="1"/>
  <c r="BE76" i="34"/>
  <c r="BD76" i="34"/>
  <c r="BD75" i="34" s="1"/>
  <c r="BG54" i="34"/>
  <c r="BF54" i="34"/>
  <c r="BE54" i="34"/>
  <c r="BD54" i="34"/>
  <c r="BG43" i="34"/>
  <c r="BF43" i="34"/>
  <c r="BE43" i="34"/>
  <c r="BD43" i="34"/>
  <c r="BG32" i="34"/>
  <c r="BF32" i="34"/>
  <c r="BE32" i="34"/>
  <c r="BD32" i="34"/>
  <c r="BG27" i="34"/>
  <c r="BF27" i="34"/>
  <c r="BE27" i="34"/>
  <c r="BD27" i="34"/>
  <c r="BG24" i="34"/>
  <c r="BF24" i="34"/>
  <c r="BE24" i="34"/>
  <c r="BD24" i="34"/>
  <c r="BG23" i="34"/>
  <c r="BF23" i="34"/>
  <c r="BE23" i="34"/>
  <c r="BD23" i="34"/>
  <c r="BG22" i="34"/>
  <c r="BF22" i="34"/>
  <c r="BE22" i="34"/>
  <c r="BD22" i="34"/>
  <c r="BG21" i="34"/>
  <c r="BF21" i="34"/>
  <c r="BE21" i="34"/>
  <c r="BD21" i="34"/>
  <c r="BG20" i="34"/>
  <c r="BF20" i="34"/>
  <c r="BE20" i="34"/>
  <c r="BD20" i="34"/>
  <c r="BG19" i="34"/>
  <c r="BF19" i="34"/>
  <c r="BE19" i="34"/>
  <c r="BD19" i="34"/>
  <c r="BG18" i="34"/>
  <c r="BF18" i="34"/>
  <c r="BE18" i="34"/>
  <c r="BD18" i="34"/>
  <c r="BG17" i="34"/>
  <c r="BG16" i="34" s="1"/>
  <c r="BF17" i="34"/>
  <c r="BF16" i="34" s="1"/>
  <c r="BE17" i="34"/>
  <c r="BE16" i="34" s="1"/>
  <c r="BD17" i="34"/>
  <c r="BD16" i="34" s="1"/>
  <c r="BG14" i="34"/>
  <c r="BF14" i="34"/>
  <c r="BE14" i="34"/>
  <c r="BD14" i="34"/>
  <c r="BG13" i="34"/>
  <c r="BF13" i="34"/>
  <c r="BE13" i="34"/>
  <c r="BD13" i="34"/>
  <c r="BG12" i="34"/>
  <c r="BF12" i="34"/>
  <c r="BE12" i="34"/>
  <c r="BD12" i="34"/>
  <c r="BG11" i="34"/>
  <c r="BF11" i="34"/>
  <c r="BE11" i="34"/>
  <c r="BD11" i="34"/>
  <c r="BG10" i="34"/>
  <c r="BF10" i="34"/>
  <c r="BE10" i="34"/>
  <c r="BD10" i="34"/>
  <c r="BG9" i="34"/>
  <c r="BF9" i="34"/>
  <c r="BE9" i="34"/>
  <c r="BD9" i="34"/>
  <c r="BG8" i="34"/>
  <c r="BF8" i="34"/>
  <c r="BE8" i="34"/>
  <c r="BD8" i="34"/>
  <c r="BG7" i="34"/>
  <c r="BG6" i="34" s="1"/>
  <c r="BF7" i="34"/>
  <c r="BF6" i="34" s="1"/>
  <c r="BE7" i="34"/>
  <c r="BE6" i="34" s="1"/>
  <c r="BD7" i="34"/>
  <c r="BD6" i="34" s="1"/>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N3" i="34"/>
  <c r="M3" i="34"/>
  <c r="L3" i="34"/>
  <c r="K3" i="34"/>
  <c r="J3" i="34"/>
  <c r="I3" i="34"/>
  <c r="H3" i="34"/>
  <c r="G3" i="34"/>
  <c r="F3" i="34"/>
  <c r="E3" i="34"/>
  <c r="AK88" i="34" l="1"/>
  <c r="AV88" i="34"/>
  <c r="AV183" i="34" s="1"/>
  <c r="AV168" i="23" s="1"/>
  <c r="BD83" i="34"/>
  <c r="BC61" i="42"/>
  <c r="AO5" i="34"/>
  <c r="AM5" i="34"/>
  <c r="AK5" i="34"/>
  <c r="AK183" i="34" s="1"/>
  <c r="AK168" i="23" s="1"/>
  <c r="AI5" i="34"/>
  <c r="AG5" i="34"/>
  <c r="AE5" i="34"/>
  <c r="AC5" i="34"/>
  <c r="AA5" i="34"/>
  <c r="Y5" i="34"/>
  <c r="W5" i="34"/>
  <c r="U5" i="34"/>
  <c r="S5" i="34"/>
  <c r="Q5" i="34"/>
  <c r="M5" i="34"/>
  <c r="K5" i="34"/>
  <c r="I5" i="34"/>
  <c r="G5" i="34"/>
  <c r="N88" i="34"/>
  <c r="N183" i="34" s="1"/>
  <c r="N168" i="23" s="1"/>
  <c r="AL88" i="34"/>
  <c r="AL183" i="34" s="1"/>
  <c r="AL168" i="23" s="1"/>
  <c r="AI88" i="34"/>
  <c r="AI183" i="34" s="1"/>
  <c r="AI168" i="23" s="1"/>
  <c r="AG88" i="34"/>
  <c r="J88" i="34"/>
  <c r="AW88" i="34"/>
  <c r="AF88" i="34"/>
  <c r="BC88" i="34"/>
  <c r="BC183" i="34" s="1"/>
  <c r="AW5" i="34"/>
  <c r="BA88" i="34"/>
  <c r="BA183" i="34" s="1"/>
  <c r="BA168" i="23" s="1"/>
  <c r="AY88" i="34"/>
  <c r="AY183" i="34" s="1"/>
  <c r="AY168" i="23" s="1"/>
  <c r="AX88" i="34"/>
  <c r="AX183" i="34" s="1"/>
  <c r="AX168" i="23" s="1"/>
  <c r="AU88" i="34"/>
  <c r="AU183" i="34" s="1"/>
  <c r="AU168" i="23" s="1"/>
  <c r="AT88" i="34"/>
  <c r="AT183" i="34" s="1"/>
  <c r="AT168" i="23" s="1"/>
  <c r="AS88" i="34"/>
  <c r="AS183" i="34" s="1"/>
  <c r="AS168" i="23" s="1"/>
  <c r="AR88" i="34"/>
  <c r="AR183" i="34" s="1"/>
  <c r="AR168" i="23" s="1"/>
  <c r="AP88" i="34"/>
  <c r="AP183" i="34" s="1"/>
  <c r="AP168" i="23" s="1"/>
  <c r="AN88" i="34"/>
  <c r="AN183" i="34" s="1"/>
  <c r="AN168" i="23" s="1"/>
  <c r="AM88" i="34"/>
  <c r="AM183" i="34" s="1"/>
  <c r="AM168" i="23" s="1"/>
  <c r="AC88" i="34"/>
  <c r="AC183" i="34" s="1"/>
  <c r="AC168" i="23" s="1"/>
  <c r="BG109" i="34"/>
  <c r="O5" i="34"/>
  <c r="O88" i="34"/>
  <c r="AH88" i="34"/>
  <c r="AH183" i="34" s="1"/>
  <c r="AH168" i="23" s="1"/>
  <c r="AQ88" i="34"/>
  <c r="AQ183" i="34" s="1"/>
  <c r="AQ168" i="23" s="1"/>
  <c r="AO88" i="34"/>
  <c r="AO183" i="34" s="1"/>
  <c r="AO168" i="23" s="1"/>
  <c r="AE88" i="34"/>
  <c r="AE183" i="34" s="1"/>
  <c r="AE168" i="23" s="1"/>
  <c r="AD88" i="34"/>
  <c r="AD183" i="34" s="1"/>
  <c r="AD168" i="23" s="1"/>
  <c r="AB88" i="34"/>
  <c r="AB183" i="34" s="1"/>
  <c r="AB168" i="23" s="1"/>
  <c r="Y88" i="34"/>
  <c r="X88" i="34"/>
  <c r="X183" i="34" s="1"/>
  <c r="X168" i="23" s="1"/>
  <c r="T88" i="34"/>
  <c r="T183" i="34" s="1"/>
  <c r="T168" i="23" s="1"/>
  <c r="R88" i="34"/>
  <c r="R183" i="34" s="1"/>
  <c r="R168" i="23" s="1"/>
  <c r="U88" i="34"/>
  <c r="AA88" i="34"/>
  <c r="AA183" i="34" s="1"/>
  <c r="AA168" i="23" s="1"/>
  <c r="V88" i="34"/>
  <c r="V183" i="34" s="1"/>
  <c r="V168" i="23" s="1"/>
  <c r="AF183" i="34"/>
  <c r="AF168" i="23" s="1"/>
  <c r="BF53" i="34"/>
  <c r="J183" i="34"/>
  <c r="J168" i="23" s="1"/>
  <c r="S88" i="34"/>
  <c r="W88" i="34"/>
  <c r="W183" i="34" s="1"/>
  <c r="W168" i="23" s="1"/>
  <c r="BF89" i="34"/>
  <c r="Q88" i="34"/>
  <c r="AJ88" i="34"/>
  <c r="AJ183" i="34" s="1"/>
  <c r="AJ168" i="23" s="1"/>
  <c r="P88" i="34"/>
  <c r="P183" i="34" s="1"/>
  <c r="P168" i="23" s="1"/>
  <c r="H88" i="34"/>
  <c r="H183" i="34" s="1"/>
  <c r="H168" i="23" s="1"/>
  <c r="K88" i="34"/>
  <c r="G88" i="34"/>
  <c r="I88" i="34"/>
  <c r="I183" i="34" s="1"/>
  <c r="I168" i="23" s="1"/>
  <c r="BB88" i="34"/>
  <c r="BB183" i="34" s="1"/>
  <c r="BB168" i="23" s="1"/>
  <c r="BG89" i="34"/>
  <c r="L88" i="34"/>
  <c r="F88" i="34"/>
  <c r="F183" i="34" s="1"/>
  <c r="F168" i="23" s="1"/>
  <c r="M88" i="34"/>
  <c r="E88" i="34"/>
  <c r="BE75" i="34"/>
  <c r="E5" i="34"/>
  <c r="E7" i="53" s="1"/>
  <c r="BF169" i="34"/>
  <c r="BF158" i="34"/>
  <c r="BF147" i="34"/>
  <c r="BF136" i="34"/>
  <c r="Z88" i="34"/>
  <c r="Z183" i="34" s="1"/>
  <c r="Z168" i="23" s="1"/>
  <c r="BF114" i="34"/>
  <c r="BF99" i="34"/>
  <c r="BF64" i="34"/>
  <c r="BF42" i="34"/>
  <c r="BF31" i="34"/>
  <c r="BF26" i="34"/>
  <c r="BG169" i="34"/>
  <c r="BG158" i="34"/>
  <c r="BG147" i="34"/>
  <c r="BG136" i="34"/>
  <c r="BG114" i="34"/>
  <c r="BG99" i="34"/>
  <c r="AZ88" i="34"/>
  <c r="AZ183" i="34" s="1"/>
  <c r="AZ168" i="23" s="1"/>
  <c r="BD89" i="34"/>
  <c r="BG64" i="34"/>
  <c r="BG53" i="34"/>
  <c r="BG42" i="34"/>
  <c r="BG31" i="34"/>
  <c r="BG26" i="34"/>
  <c r="BD169" i="34"/>
  <c r="BE169" i="34"/>
  <c r="BD158" i="34"/>
  <c r="BE158" i="34"/>
  <c r="BD147" i="34"/>
  <c r="BE147" i="34"/>
  <c r="BD136" i="34"/>
  <c r="BE136" i="34"/>
  <c r="BD114" i="34"/>
  <c r="BE114" i="34"/>
  <c r="BD109" i="34"/>
  <c r="BE109" i="34"/>
  <c r="BE99" i="34"/>
  <c r="BD99" i="34"/>
  <c r="BE89" i="34"/>
  <c r="BD64" i="34"/>
  <c r="BE64" i="34"/>
  <c r="BE53" i="34"/>
  <c r="BD53" i="34"/>
  <c r="BD42" i="34"/>
  <c r="BE42" i="34"/>
  <c r="BD31" i="34"/>
  <c r="BE31" i="34"/>
  <c r="BD26" i="34"/>
  <c r="BE26" i="34"/>
  <c r="BE3" i="34"/>
  <c r="BF3" i="34"/>
  <c r="BD3" i="34"/>
  <c r="BG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C18" i="32"/>
  <c r="F16" i="32"/>
  <c r="BA6" i="32"/>
  <c r="AZ6" i="32"/>
  <c r="AY6" i="32"/>
  <c r="AX6" i="32"/>
  <c r="AW6" i="32"/>
  <c r="AV6" i="32"/>
  <c r="AU6" i="32"/>
  <c r="AT6" i="32"/>
  <c r="AS6" i="32"/>
  <c r="AR6" i="32"/>
  <c r="AQ6" i="32"/>
  <c r="AP6" i="32"/>
  <c r="AO6" i="32"/>
  <c r="AN6" i="32"/>
  <c r="AM6" i="32"/>
  <c r="AL6" i="32"/>
  <c r="AK6" i="32"/>
  <c r="AJ6" i="32"/>
  <c r="AH6" i="32"/>
  <c r="AG6" i="32"/>
  <c r="AF6" i="32"/>
  <c r="AE6" i="32"/>
  <c r="AD6" i="32"/>
  <c r="AC6" i="32"/>
  <c r="AB6" i="32"/>
  <c r="AA6" i="32"/>
  <c r="Z6" i="32"/>
  <c r="Y6" i="32"/>
  <c r="X6" i="32"/>
  <c r="W6" i="32"/>
  <c r="V6" i="32"/>
  <c r="U6" i="32"/>
  <c r="T6" i="32"/>
  <c r="S6" i="32"/>
  <c r="R6" i="32"/>
  <c r="Q6" i="32"/>
  <c r="P6" i="32"/>
  <c r="O6" i="32"/>
  <c r="N6" i="32"/>
  <c r="M6" i="32"/>
  <c r="L6" i="32"/>
  <c r="K6" i="32"/>
  <c r="I6" i="32"/>
  <c r="H6" i="32"/>
  <c r="G6" i="32"/>
  <c r="F6" i="32"/>
  <c r="E6" i="32"/>
  <c r="D6" i="32"/>
  <c r="C6" i="32"/>
  <c r="S183" i="34" l="1"/>
  <c r="S168" i="23" s="1"/>
  <c r="Q183" i="34"/>
  <c r="Q168" i="23" s="1"/>
  <c r="M183" i="34"/>
  <c r="M168" i="23" s="1"/>
  <c r="K183" i="34"/>
  <c r="K168" i="23" s="1"/>
  <c r="AG183" i="34"/>
  <c r="AG168" i="23" s="1"/>
  <c r="AW183" i="34"/>
  <c r="AW168" i="23" s="1"/>
  <c r="G183" i="34"/>
  <c r="G168" i="23" s="1"/>
  <c r="U183" i="34"/>
  <c r="U168" i="23" s="1"/>
  <c r="Y183" i="34"/>
  <c r="Y168" i="23" s="1"/>
  <c r="BC37" i="35"/>
  <c r="BG61" i="42"/>
  <c r="BD61" i="42"/>
  <c r="D37" i="35" s="1"/>
  <c r="D39" i="35" s="1"/>
  <c r="E183" i="34"/>
  <c r="E168" i="23" s="1"/>
  <c r="O183" i="34"/>
  <c r="O168" i="23" s="1"/>
  <c r="C18" i="52"/>
  <c r="BC168" i="23"/>
  <c r="L183" i="34"/>
  <c r="E185" i="53" s="1"/>
  <c r="E90" i="53"/>
  <c r="BF88" i="34"/>
  <c r="BF5" i="34"/>
  <c r="BG88" i="34"/>
  <c r="BD88" i="34"/>
  <c r="BG5" i="34"/>
  <c r="BD18" i="32"/>
  <c r="BE18" i="32"/>
  <c r="BE88" i="34"/>
  <c r="BD5" i="34"/>
  <c r="BE5" i="34"/>
  <c r="BB18" i="32"/>
  <c r="BC18" i="32"/>
  <c r="BD6" i="32"/>
  <c r="BB6" i="32"/>
  <c r="BE6" i="32"/>
  <c r="BC6" i="32"/>
  <c r="BC39" i="35" l="1"/>
  <c r="BF39" i="35" s="1"/>
  <c r="BF37" i="35"/>
  <c r="C16" i="44"/>
  <c r="E22" i="46"/>
  <c r="BE183" i="34"/>
  <c r="BE168" i="23" s="1"/>
  <c r="BG183" i="34"/>
  <c r="BG168" i="23" s="1"/>
  <c r="L168" i="23"/>
  <c r="D90" i="27"/>
  <c r="D44" i="27"/>
  <c r="BF183" i="34"/>
  <c r="BD183" i="34"/>
  <c r="BE8" i="24"/>
  <c r="F8" i="31" s="1"/>
  <c r="BE9" i="24"/>
  <c r="F9" i="31" s="1"/>
  <c r="BE10" i="24"/>
  <c r="F10" i="31" s="1"/>
  <c r="BE11" i="24"/>
  <c r="F11" i="31" s="1"/>
  <c r="BE12" i="24"/>
  <c r="F12" i="31" s="1"/>
  <c r="BE13" i="24"/>
  <c r="F13" i="31" s="1"/>
  <c r="BE16" i="24"/>
  <c r="F16" i="31" s="1"/>
  <c r="BE17" i="24"/>
  <c r="F17" i="31" s="1"/>
  <c r="BE18" i="24"/>
  <c r="F18" i="31" s="1"/>
  <c r="BE19" i="24"/>
  <c r="F19" i="31" s="1"/>
  <c r="BE20" i="24"/>
  <c r="F20" i="31" s="1"/>
  <c r="BE21" i="24"/>
  <c r="F21" i="31" s="1"/>
  <c r="BE22" i="24"/>
  <c r="F22" i="31" s="1"/>
  <c r="BE23" i="24"/>
  <c r="F23" i="31" s="1"/>
  <c r="BE26" i="24"/>
  <c r="F26" i="31" s="1"/>
  <c r="BE27" i="24"/>
  <c r="F27" i="31" s="1"/>
  <c r="BE28" i="24"/>
  <c r="F28" i="31" s="1"/>
  <c r="BE29" i="24"/>
  <c r="F29" i="31" s="1"/>
  <c r="BE32" i="24"/>
  <c r="F32" i="31" s="1"/>
  <c r="BE33" i="24"/>
  <c r="F33" i="31" s="1"/>
  <c r="BE34" i="24"/>
  <c r="F34" i="31" s="1"/>
  <c r="BE35" i="24"/>
  <c r="F35" i="31" s="1"/>
  <c r="BE36" i="24"/>
  <c r="F36" i="31" s="1"/>
  <c r="BE37" i="24"/>
  <c r="F37" i="31" s="1"/>
  <c r="BE38" i="24"/>
  <c r="F38" i="31" s="1"/>
  <c r="BE39" i="24"/>
  <c r="F39" i="31" s="1"/>
  <c r="BE42" i="24"/>
  <c r="F42" i="31" s="1"/>
  <c r="BE43" i="24"/>
  <c r="F43" i="31" s="1"/>
  <c r="BE44" i="24"/>
  <c r="F44" i="31" s="1"/>
  <c r="BE45" i="24"/>
  <c r="F45" i="31" s="1"/>
  <c r="BE46" i="24"/>
  <c r="F46" i="31" s="1"/>
  <c r="BE49" i="24"/>
  <c r="F49" i="31" s="1"/>
  <c r="BE50" i="24"/>
  <c r="F50" i="31" s="1"/>
  <c r="BE51" i="24"/>
  <c r="F51" i="31" s="1"/>
  <c r="BE52" i="24"/>
  <c r="F52" i="31" s="1"/>
  <c r="BE55" i="24"/>
  <c r="F55" i="31" s="1"/>
  <c r="BE56" i="24"/>
  <c r="F56" i="31" s="1"/>
  <c r="BE57" i="24"/>
  <c r="F57" i="31" s="1"/>
  <c r="BE58" i="24"/>
  <c r="F58" i="31" s="1"/>
  <c r="BE59" i="24"/>
  <c r="F59" i="31" s="1"/>
  <c r="BE60" i="24"/>
  <c r="F60" i="31" s="1"/>
  <c r="BE63" i="24"/>
  <c r="F63" i="31" s="1"/>
  <c r="BE64" i="24"/>
  <c r="F64" i="31" s="1"/>
  <c r="BE65" i="24"/>
  <c r="F65" i="31" s="1"/>
  <c r="BE66" i="24"/>
  <c r="F66" i="31" s="1"/>
  <c r="BE70" i="24"/>
  <c r="F70" i="31" s="1"/>
  <c r="BE71" i="24"/>
  <c r="F71" i="31" s="1"/>
  <c r="BE72" i="24"/>
  <c r="F72" i="31" s="1"/>
  <c r="BE73" i="24"/>
  <c r="F73" i="31" s="1"/>
  <c r="BE74" i="24"/>
  <c r="F74" i="31" s="1"/>
  <c r="BE75" i="24"/>
  <c r="F75" i="31" s="1"/>
  <c r="BE76" i="24"/>
  <c r="F76" i="31" s="1"/>
  <c r="BE77" i="24"/>
  <c r="F77" i="31" s="1"/>
  <c r="BE78" i="24"/>
  <c r="F78" i="31" s="1"/>
  <c r="BE81" i="24"/>
  <c r="F81" i="31" s="1"/>
  <c r="BE82" i="24"/>
  <c r="F82" i="31" s="1"/>
  <c r="BE87" i="24"/>
  <c r="F85" i="31" s="1"/>
  <c r="BE88" i="24"/>
  <c r="F86" i="31" s="1"/>
  <c r="BE89" i="24"/>
  <c r="F87" i="31" s="1"/>
  <c r="BE90" i="24"/>
  <c r="BE91" i="24"/>
  <c r="F89" i="31" s="1"/>
  <c r="BE92" i="24"/>
  <c r="F90" i="31" s="1"/>
  <c r="BE93" i="24"/>
  <c r="F91" i="31" s="1"/>
  <c r="BE94" i="24"/>
  <c r="F92" i="31" s="1"/>
  <c r="BE95" i="24"/>
  <c r="F93" i="31" s="1"/>
  <c r="BE98" i="24"/>
  <c r="F96" i="31" s="1"/>
  <c r="BE99" i="24"/>
  <c r="F97" i="31" s="1"/>
  <c r="BE100" i="24"/>
  <c r="F98" i="31" s="1"/>
  <c r="BE101" i="24"/>
  <c r="F99" i="31" s="1"/>
  <c r="BE102" i="24"/>
  <c r="F100" i="31" s="1"/>
  <c r="BE103" i="24"/>
  <c r="F101" i="31" s="1"/>
  <c r="BE104" i="24"/>
  <c r="F102" i="31" s="1"/>
  <c r="BE105" i="24"/>
  <c r="F103" i="31" s="1"/>
  <c r="BE106" i="24"/>
  <c r="F104" i="31" s="1"/>
  <c r="BE109" i="24"/>
  <c r="F107" i="31" s="1"/>
  <c r="BE110" i="24"/>
  <c r="F108" i="31" s="1"/>
  <c r="BE111" i="24"/>
  <c r="F109" i="31" s="1"/>
  <c r="BE112" i="24"/>
  <c r="F110" i="31" s="1"/>
  <c r="BE113" i="24"/>
  <c r="F111" i="31" s="1"/>
  <c r="BE114" i="24"/>
  <c r="F112" i="31" s="1"/>
  <c r="BE115" i="24"/>
  <c r="F113" i="31" s="1"/>
  <c r="BE116" i="24"/>
  <c r="F114" i="31" s="1"/>
  <c r="BE117" i="24"/>
  <c r="F115" i="31" s="1"/>
  <c r="BE118" i="24"/>
  <c r="F116" i="31" s="1"/>
  <c r="BE124" i="24"/>
  <c r="F122" i="31" s="1"/>
  <c r="BE125" i="24"/>
  <c r="F123" i="31" s="1"/>
  <c r="BE126" i="24"/>
  <c r="BE127" i="24"/>
  <c r="F125" i="31" s="1"/>
  <c r="BE128" i="24"/>
  <c r="F126" i="31" s="1"/>
  <c r="BE129" i="24"/>
  <c r="F127" i="31" s="1"/>
  <c r="BE130" i="24"/>
  <c r="F128" i="31" s="1"/>
  <c r="BE131" i="24"/>
  <c r="F129" i="31" s="1"/>
  <c r="BE134" i="24"/>
  <c r="F132" i="31" s="1"/>
  <c r="BE135" i="24"/>
  <c r="F133" i="31" s="1"/>
  <c r="BE136" i="24"/>
  <c r="F134" i="31" s="1"/>
  <c r="BE137" i="24"/>
  <c r="F135" i="31" s="1"/>
  <c r="BE138" i="24"/>
  <c r="F136" i="31" s="1"/>
  <c r="BE139" i="24"/>
  <c r="F137" i="31" s="1"/>
  <c r="BE140" i="24"/>
  <c r="BE141" i="24"/>
  <c r="F139" i="31" s="1"/>
  <c r="BE144" i="24"/>
  <c r="F142" i="31" s="1"/>
  <c r="BE145" i="24"/>
  <c r="F143" i="31" s="1"/>
  <c r="BE146" i="24"/>
  <c r="F144" i="31" s="1"/>
  <c r="BE147" i="24"/>
  <c r="F145" i="31" s="1"/>
  <c r="BE148" i="24"/>
  <c r="F146" i="31" s="1"/>
  <c r="BE149" i="24"/>
  <c r="F147" i="31" s="1"/>
  <c r="BE150" i="24"/>
  <c r="F148" i="31" s="1"/>
  <c r="BE151" i="24"/>
  <c r="F149" i="31" s="1"/>
  <c r="BE154" i="24"/>
  <c r="F152" i="31" s="1"/>
  <c r="BE155" i="24"/>
  <c r="BE156" i="24"/>
  <c r="F154" i="31" s="1"/>
  <c r="BE157" i="24"/>
  <c r="F155" i="31" s="1"/>
  <c r="BE158" i="24"/>
  <c r="BE159" i="24"/>
  <c r="F157" i="31" s="1"/>
  <c r="BE160" i="24"/>
  <c r="F158" i="31" s="1"/>
  <c r="BE161" i="24"/>
  <c r="F159" i="31" s="1"/>
  <c r="BE162" i="24"/>
  <c r="F160" i="31" s="1"/>
  <c r="BE163" i="24"/>
  <c r="F161" i="31" s="1"/>
  <c r="BE166" i="24"/>
  <c r="F164" i="31" s="1"/>
  <c r="BE167" i="24"/>
  <c r="F165" i="31" s="1"/>
  <c r="BE168" i="24"/>
  <c r="F166" i="31" s="1"/>
  <c r="BE169" i="24"/>
  <c r="F167" i="31" s="1"/>
  <c r="BE170" i="24"/>
  <c r="F168" i="31" s="1"/>
  <c r="BE171" i="24"/>
  <c r="F169" i="31" s="1"/>
  <c r="BE174" i="24"/>
  <c r="F172" i="31" s="1"/>
  <c r="BE175" i="24"/>
  <c r="F173" i="31" s="1"/>
  <c r="BE176" i="24"/>
  <c r="F174" i="31" s="1"/>
  <c r="BE177" i="24"/>
  <c r="F175" i="31" s="1"/>
  <c r="BE178" i="24"/>
  <c r="F176" i="31" s="1"/>
  <c r="BE179" i="24"/>
  <c r="F177" i="31" s="1"/>
  <c r="BE180" i="24"/>
  <c r="F178" i="31" s="1"/>
  <c r="BE181" i="24"/>
  <c r="F179" i="31" s="1"/>
  <c r="BE182" i="24"/>
  <c r="F180" i="31" s="1"/>
  <c r="BE185" i="24"/>
  <c r="F183" i="31" s="1"/>
  <c r="BE186" i="24"/>
  <c r="F184" i="31" s="1"/>
  <c r="BE187" i="24"/>
  <c r="F185" i="31" s="1"/>
  <c r="BE188" i="24"/>
  <c r="F186" i="31" s="1"/>
  <c r="BE192" i="24"/>
  <c r="BE195" i="24"/>
  <c r="F193" i="31" s="1"/>
  <c r="BE196" i="24"/>
  <c r="BE199" i="24"/>
  <c r="F197" i="31" s="1"/>
  <c r="BE202" i="24"/>
  <c r="F200" i="31" s="1"/>
  <c r="BE205" i="24"/>
  <c r="F203" i="31" s="1"/>
  <c r="BE208" i="24"/>
  <c r="F206" i="31" s="1"/>
  <c r="BE211" i="24"/>
  <c r="F209" i="31" s="1"/>
  <c r="BE214" i="24"/>
  <c r="F212" i="31" s="1"/>
  <c r="F216" i="31"/>
  <c r="F88" i="31"/>
  <c r="F124" i="31"/>
  <c r="F153" i="31"/>
  <c r="F156" i="31"/>
  <c r="F194" i="31"/>
  <c r="BH217" i="24"/>
  <c r="BH222" i="24" s="1"/>
  <c r="BH218" i="24"/>
  <c r="BG217" i="24"/>
  <c r="BG222" i="24" s="1"/>
  <c r="BG218" i="24"/>
  <c r="BF217" i="24"/>
  <c r="BF218" i="24"/>
  <c r="BH214" i="24"/>
  <c r="BG214" i="24"/>
  <c r="BF214"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0"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G12" i="42" s="1"/>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231" i="24" s="1"/>
  <c r="BH195" i="24"/>
  <c r="BH196" i="24"/>
  <c r="BH199" i="24"/>
  <c r="BH202" i="24"/>
  <c r="BH205" i="24"/>
  <c r="BH208" i="24"/>
  <c r="BH211" i="24"/>
  <c r="BG8" i="24"/>
  <c r="BG9" i="24"/>
  <c r="BG10" i="24"/>
  <c r="BG11" i="24"/>
  <c r="BG12" i="24"/>
  <c r="BG13" i="24"/>
  <c r="BG16" i="24"/>
  <c r="BG17" i="24"/>
  <c r="BG18" i="24"/>
  <c r="BG19" i="24"/>
  <c r="BG20" i="24"/>
  <c r="BG21" i="24"/>
  <c r="BG22" i="24"/>
  <c r="BG23" i="24"/>
  <c r="BG26" i="24"/>
  <c r="BG27" i="24"/>
  <c r="BG28" i="24"/>
  <c r="BG29" i="24"/>
  <c r="BG32" i="24"/>
  <c r="BG33" i="24"/>
  <c r="BG34" i="24"/>
  <c r="BG35" i="24"/>
  <c r="BG36" i="24"/>
  <c r="BG37" i="24"/>
  <c r="BG38" i="24"/>
  <c r="BG39" i="24"/>
  <c r="BG42" i="24"/>
  <c r="BG43" i="24"/>
  <c r="BG44" i="24"/>
  <c r="BG45" i="24"/>
  <c r="BG46" i="24"/>
  <c r="BG49" i="24"/>
  <c r="BG50" i="24"/>
  <c r="BG51" i="24"/>
  <c r="BG52" i="24"/>
  <c r="BG55" i="24"/>
  <c r="BG56" i="24"/>
  <c r="BG57" i="24"/>
  <c r="BG58" i="24"/>
  <c r="BG59" i="24"/>
  <c r="BG60" i="24"/>
  <c r="BG63" i="24"/>
  <c r="BG64" i="24"/>
  <c r="BG65" i="24"/>
  <c r="BG66" i="24"/>
  <c r="BG70" i="24"/>
  <c r="BG71" i="24"/>
  <c r="BG72" i="24"/>
  <c r="BG73" i="24"/>
  <c r="BG74" i="24"/>
  <c r="BG75" i="24"/>
  <c r="BG76" i="24"/>
  <c r="BG77" i="24"/>
  <c r="BG78" i="24"/>
  <c r="BG80" i="24"/>
  <c r="BG81" i="24"/>
  <c r="BG82" i="24"/>
  <c r="BG87" i="24"/>
  <c r="BG88" i="24"/>
  <c r="BG89" i="24"/>
  <c r="BG90" i="24"/>
  <c r="BG91" i="24"/>
  <c r="BG92" i="24"/>
  <c r="BG93" i="24"/>
  <c r="BG94" i="24"/>
  <c r="BG95" i="24"/>
  <c r="BG98" i="24"/>
  <c r="BG99" i="24"/>
  <c r="BG100" i="24"/>
  <c r="BG101" i="24"/>
  <c r="BG102" i="24"/>
  <c r="BG103" i="24"/>
  <c r="BG104" i="24"/>
  <c r="BG105" i="24"/>
  <c r="BG106" i="24"/>
  <c r="BG109" i="24"/>
  <c r="BG110" i="24"/>
  <c r="BG111" i="24"/>
  <c r="BG112" i="24"/>
  <c r="BG113" i="24"/>
  <c r="BG114" i="24"/>
  <c r="BG115" i="24"/>
  <c r="BG116" i="24"/>
  <c r="BG117" i="24"/>
  <c r="BG118" i="24"/>
  <c r="BG124" i="24"/>
  <c r="BG125" i="24"/>
  <c r="BG126" i="24"/>
  <c r="BG127" i="24"/>
  <c r="BG128" i="24"/>
  <c r="BG129" i="24"/>
  <c r="BG130" i="24"/>
  <c r="BG131" i="24"/>
  <c r="BG134" i="24"/>
  <c r="BG135" i="24"/>
  <c r="BG136" i="24"/>
  <c r="BG137" i="24"/>
  <c r="BG138" i="24"/>
  <c r="BG139" i="24"/>
  <c r="BG140" i="24"/>
  <c r="BF12" i="42" s="1"/>
  <c r="BG141" i="24"/>
  <c r="BG144" i="24"/>
  <c r="BG145" i="24"/>
  <c r="BG146" i="24"/>
  <c r="BG147" i="24"/>
  <c r="BG148" i="24"/>
  <c r="BG149" i="24"/>
  <c r="BG150" i="24"/>
  <c r="BG151" i="24"/>
  <c r="BG154" i="24"/>
  <c r="BG155" i="24"/>
  <c r="BG156" i="24"/>
  <c r="BG157" i="24"/>
  <c r="BG158" i="24"/>
  <c r="BG159" i="24"/>
  <c r="BG160" i="24"/>
  <c r="BG161" i="24"/>
  <c r="BG162" i="24"/>
  <c r="BG163" i="24"/>
  <c r="BG166" i="24"/>
  <c r="BG167" i="24"/>
  <c r="BG168" i="24"/>
  <c r="BG169" i="24"/>
  <c r="BG170" i="24"/>
  <c r="BG171" i="24"/>
  <c r="BG174" i="24"/>
  <c r="BG175" i="24"/>
  <c r="BG176" i="24"/>
  <c r="BG177" i="24"/>
  <c r="BG178" i="24"/>
  <c r="BG179" i="24"/>
  <c r="BG180" i="24"/>
  <c r="BG181" i="24"/>
  <c r="BG182" i="24"/>
  <c r="BG185" i="24"/>
  <c r="BG186" i="24"/>
  <c r="BG187" i="24"/>
  <c r="BG188" i="24"/>
  <c r="BG192" i="24"/>
  <c r="BG195" i="24"/>
  <c r="BG196" i="24"/>
  <c r="BG199" i="24"/>
  <c r="BG202" i="24"/>
  <c r="BG205" i="24"/>
  <c r="BG208" i="24"/>
  <c r="BG211" i="24"/>
  <c r="BF8" i="24"/>
  <c r="BF9" i="24"/>
  <c r="BF10" i="24"/>
  <c r="BF11" i="24"/>
  <c r="BF12" i="24"/>
  <c r="BF13" i="24"/>
  <c r="BF16" i="24"/>
  <c r="BF17" i="24"/>
  <c r="BF18" i="24"/>
  <c r="BF19" i="24"/>
  <c r="BF20" i="24"/>
  <c r="BF21" i="24"/>
  <c r="BF22" i="24"/>
  <c r="BF23" i="24"/>
  <c r="BF26" i="24"/>
  <c r="BF27" i="24"/>
  <c r="BF28" i="24"/>
  <c r="BF29" i="24"/>
  <c r="BF32" i="24"/>
  <c r="BF33" i="24"/>
  <c r="BF34" i="24"/>
  <c r="BF35" i="24"/>
  <c r="BF36" i="24"/>
  <c r="BF37" i="24"/>
  <c r="BF38" i="24"/>
  <c r="BF39" i="24"/>
  <c r="BF42" i="24"/>
  <c r="BF43" i="24"/>
  <c r="BF44" i="24"/>
  <c r="BF45" i="24"/>
  <c r="BF46" i="24"/>
  <c r="BF49" i="24"/>
  <c r="BF50" i="24"/>
  <c r="BF51" i="24"/>
  <c r="BF52" i="24"/>
  <c r="BF55" i="24"/>
  <c r="BF56" i="24"/>
  <c r="BF57" i="24"/>
  <c r="BF58" i="24"/>
  <c r="BF59" i="24"/>
  <c r="BF60" i="24"/>
  <c r="BF63" i="24"/>
  <c r="BF64" i="24"/>
  <c r="BF65" i="24"/>
  <c r="BF66" i="24"/>
  <c r="BF70" i="24"/>
  <c r="BF71" i="24"/>
  <c r="BF72" i="24"/>
  <c r="BF73" i="24"/>
  <c r="BF74" i="24"/>
  <c r="BF75" i="24"/>
  <c r="BF76" i="24"/>
  <c r="BF77" i="24"/>
  <c r="BF78" i="24"/>
  <c r="BF81" i="24"/>
  <c r="BF82" i="24"/>
  <c r="BF87" i="24"/>
  <c r="BF88" i="24"/>
  <c r="BF89" i="24"/>
  <c r="BF90" i="24"/>
  <c r="BF91" i="24"/>
  <c r="BF92" i="24"/>
  <c r="BF93" i="24"/>
  <c r="BF94" i="24"/>
  <c r="BF95" i="24"/>
  <c r="BF98" i="24"/>
  <c r="BF99" i="24"/>
  <c r="BF100" i="24"/>
  <c r="BF101" i="24"/>
  <c r="BF102" i="24"/>
  <c r="BF103" i="24"/>
  <c r="BF104" i="24"/>
  <c r="BF105" i="24"/>
  <c r="BF106" i="24"/>
  <c r="BF109" i="24"/>
  <c r="BF110" i="24"/>
  <c r="BF111" i="24"/>
  <c r="BF112" i="24"/>
  <c r="BF113" i="24"/>
  <c r="BF114" i="24"/>
  <c r="BF115" i="24"/>
  <c r="BF116" i="24"/>
  <c r="BF117" i="24"/>
  <c r="BF118" i="24"/>
  <c r="BF124" i="24"/>
  <c r="BF125" i="24"/>
  <c r="BF126" i="24"/>
  <c r="BF127" i="24"/>
  <c r="BF128" i="24"/>
  <c r="BF129" i="24"/>
  <c r="BF130" i="24"/>
  <c r="BF131" i="24"/>
  <c r="BF134" i="24"/>
  <c r="BF135" i="24"/>
  <c r="BF136" i="24"/>
  <c r="BF137" i="24"/>
  <c r="BF138" i="24"/>
  <c r="BF139" i="24"/>
  <c r="BF140" i="24"/>
  <c r="BE12" i="42" s="1"/>
  <c r="BF141" i="24"/>
  <c r="BF144" i="24"/>
  <c r="BF145" i="24"/>
  <c r="BF146" i="24"/>
  <c r="BF147" i="24"/>
  <c r="BF148" i="24"/>
  <c r="BF149" i="24"/>
  <c r="BF150" i="24"/>
  <c r="BF151" i="24"/>
  <c r="BF154" i="24"/>
  <c r="BF155" i="24"/>
  <c r="BF156" i="24"/>
  <c r="BF157" i="24"/>
  <c r="BF158" i="24"/>
  <c r="BF159" i="24"/>
  <c r="BF160" i="24"/>
  <c r="BF161" i="24"/>
  <c r="BF162" i="24"/>
  <c r="BF163" i="24"/>
  <c r="BF166" i="24"/>
  <c r="BF167" i="24"/>
  <c r="BF168" i="24"/>
  <c r="BF169" i="24"/>
  <c r="BF170" i="24"/>
  <c r="BF171" i="24"/>
  <c r="BF174" i="24"/>
  <c r="BF175" i="24"/>
  <c r="BF176" i="24"/>
  <c r="BF177" i="24"/>
  <c r="BF178" i="24"/>
  <c r="BF179" i="24"/>
  <c r="BF180" i="24"/>
  <c r="BF181" i="24"/>
  <c r="BF182" i="24"/>
  <c r="BF185" i="24"/>
  <c r="BF186" i="24"/>
  <c r="BF187" i="24"/>
  <c r="BF188" i="24"/>
  <c r="BF192" i="24"/>
  <c r="BF195" i="24"/>
  <c r="BF196" i="24"/>
  <c r="BF199" i="24"/>
  <c r="BF202" i="24"/>
  <c r="BF205" i="24"/>
  <c r="BF208" i="24"/>
  <c r="BF211" i="24"/>
  <c r="G216" i="24"/>
  <c r="F15" i="42" s="1"/>
  <c r="F6" i="39" s="1"/>
  <c r="F8" i="39" s="1"/>
  <c r="F12" i="39" s="1"/>
  <c r="F41" i="40" s="1"/>
  <c r="H216" i="24"/>
  <c r="G15" i="42" s="1"/>
  <c r="G6" i="39" s="1"/>
  <c r="G8" i="39" s="1"/>
  <c r="G12" i="39" s="1"/>
  <c r="G41" i="40" s="1"/>
  <c r="I216" i="24"/>
  <c r="H15" i="42" s="1"/>
  <c r="H6" i="39" s="1"/>
  <c r="H8" i="39" s="1"/>
  <c r="H12" i="39" s="1"/>
  <c r="H41" i="40" s="1"/>
  <c r="J216" i="24"/>
  <c r="I15" i="42" s="1"/>
  <c r="I6" i="39" s="1"/>
  <c r="I8" i="39" s="1"/>
  <c r="I12" i="39" s="1"/>
  <c r="I41" i="40" s="1"/>
  <c r="K216" i="24"/>
  <c r="J15" i="42" s="1"/>
  <c r="J6" i="39" s="1"/>
  <c r="J8" i="39" s="1"/>
  <c r="J12" i="39" s="1"/>
  <c r="J41" i="40" s="1"/>
  <c r="L216" i="24"/>
  <c r="K15" i="42" s="1"/>
  <c r="K6" i="39" s="1"/>
  <c r="K8" i="39" s="1"/>
  <c r="K12" i="39" s="1"/>
  <c r="K41" i="40" s="1"/>
  <c r="M216" i="24"/>
  <c r="L15" i="42" s="1"/>
  <c r="L6" i="39" s="1"/>
  <c r="L8" i="39" s="1"/>
  <c r="L12" i="39" s="1"/>
  <c r="L41" i="40" s="1"/>
  <c r="N216" i="24"/>
  <c r="M15" i="42" s="1"/>
  <c r="M6" i="39" s="1"/>
  <c r="M8" i="39" s="1"/>
  <c r="M12" i="39" s="1"/>
  <c r="M41" i="40" s="1"/>
  <c r="O216" i="24"/>
  <c r="N15" i="42" s="1"/>
  <c r="N6" i="39" s="1"/>
  <c r="N8" i="39" s="1"/>
  <c r="N12" i="39" s="1"/>
  <c r="N41" i="40" s="1"/>
  <c r="P216" i="24"/>
  <c r="O15" i="42" s="1"/>
  <c r="O6" i="39" s="1"/>
  <c r="O8" i="39" s="1"/>
  <c r="O12" i="39" s="1"/>
  <c r="O41" i="40" s="1"/>
  <c r="Q216" i="24"/>
  <c r="P15" i="42" s="1"/>
  <c r="P6" i="39" s="1"/>
  <c r="P8" i="39" s="1"/>
  <c r="P12" i="39" s="1"/>
  <c r="P41" i="40" s="1"/>
  <c r="R216" i="24"/>
  <c r="Q15" i="42" s="1"/>
  <c r="Q6" i="39" s="1"/>
  <c r="Q8" i="39" s="1"/>
  <c r="Q12" i="39" s="1"/>
  <c r="Q41" i="40" s="1"/>
  <c r="S216" i="24"/>
  <c r="R15" i="42" s="1"/>
  <c r="R6" i="39" s="1"/>
  <c r="R8" i="39" s="1"/>
  <c r="R12" i="39" s="1"/>
  <c r="R41" i="40" s="1"/>
  <c r="T216" i="24"/>
  <c r="S15" i="42" s="1"/>
  <c r="S6" i="39" s="1"/>
  <c r="S8" i="39" s="1"/>
  <c r="S12" i="39" s="1"/>
  <c r="S41" i="40" s="1"/>
  <c r="U216" i="24"/>
  <c r="T15" i="42" s="1"/>
  <c r="T6" i="39" s="1"/>
  <c r="T8" i="39" s="1"/>
  <c r="T12" i="39" s="1"/>
  <c r="T41" i="40" s="1"/>
  <c r="V216" i="24"/>
  <c r="U15" i="42" s="1"/>
  <c r="U6" i="39" s="1"/>
  <c r="U8" i="39" s="1"/>
  <c r="U12" i="39" s="1"/>
  <c r="U41" i="40" s="1"/>
  <c r="W216" i="24"/>
  <c r="V15" i="42" s="1"/>
  <c r="V6" i="39" s="1"/>
  <c r="V8" i="39" s="1"/>
  <c r="V12" i="39" s="1"/>
  <c r="V41" i="40" s="1"/>
  <c r="X216" i="24"/>
  <c r="W15" i="42" s="1"/>
  <c r="W6" i="39" s="1"/>
  <c r="W8" i="39" s="1"/>
  <c r="W12" i="39" s="1"/>
  <c r="W41" i="40" s="1"/>
  <c r="Y216" i="24"/>
  <c r="X15" i="42" s="1"/>
  <c r="X6" i="39" s="1"/>
  <c r="Z216" i="24"/>
  <c r="Y15" i="42" s="1"/>
  <c r="Y6" i="39" s="1"/>
  <c r="Y8" i="39" s="1"/>
  <c r="Y12" i="39" s="1"/>
  <c r="Y41" i="40" s="1"/>
  <c r="AA216" i="24"/>
  <c r="Z15" i="42" s="1"/>
  <c r="Z6" i="39" s="1"/>
  <c r="Z8" i="39" s="1"/>
  <c r="Z12" i="39" s="1"/>
  <c r="Z41" i="40" s="1"/>
  <c r="AB216" i="24"/>
  <c r="AA15" i="42" s="1"/>
  <c r="AA6" i="39" s="1"/>
  <c r="AA8" i="39" s="1"/>
  <c r="AA12" i="39" s="1"/>
  <c r="AA41" i="40" s="1"/>
  <c r="AC216" i="24"/>
  <c r="AB15" i="42" s="1"/>
  <c r="AB6" i="39" s="1"/>
  <c r="AB8" i="39" s="1"/>
  <c r="AB12" i="39" s="1"/>
  <c r="AB41" i="40" s="1"/>
  <c r="AD216" i="24"/>
  <c r="AC15" i="42" s="1"/>
  <c r="AC6" i="39" s="1"/>
  <c r="AC8" i="39" s="1"/>
  <c r="AC12" i="39" s="1"/>
  <c r="AC41" i="40" s="1"/>
  <c r="AE216" i="24"/>
  <c r="AD15" i="42" s="1"/>
  <c r="AD6" i="39" s="1"/>
  <c r="AD8" i="39" s="1"/>
  <c r="AD12" i="39" s="1"/>
  <c r="AD41" i="40" s="1"/>
  <c r="AF216" i="24"/>
  <c r="AE15" i="42" s="1"/>
  <c r="AE6" i="39" s="1"/>
  <c r="AE8" i="39" s="1"/>
  <c r="AE12" i="39" s="1"/>
  <c r="AE41" i="40" s="1"/>
  <c r="AG216" i="24"/>
  <c r="AF15" i="42" s="1"/>
  <c r="AF6" i="39" s="1"/>
  <c r="AF8" i="39" s="1"/>
  <c r="AF12" i="39" s="1"/>
  <c r="AF41" i="40" s="1"/>
  <c r="AH216" i="24"/>
  <c r="AG15" i="42" s="1"/>
  <c r="AG6" i="39" s="1"/>
  <c r="AG8" i="39" s="1"/>
  <c r="AG12" i="39" s="1"/>
  <c r="AG41" i="40" s="1"/>
  <c r="AI216" i="24"/>
  <c r="AH15" i="42" s="1"/>
  <c r="AH6" i="39" s="1"/>
  <c r="AH8" i="39" s="1"/>
  <c r="AH12" i="39" s="1"/>
  <c r="AH41" i="40" s="1"/>
  <c r="AJ216" i="24"/>
  <c r="AI15" i="42" s="1"/>
  <c r="AI6" i="39" s="1"/>
  <c r="AI8" i="39" s="1"/>
  <c r="AI12" i="39" s="1"/>
  <c r="AI41" i="40" s="1"/>
  <c r="AK216" i="24"/>
  <c r="AJ15" i="42" s="1"/>
  <c r="AJ6" i="39" s="1"/>
  <c r="AL216" i="24"/>
  <c r="AK15" i="42" s="1"/>
  <c r="AK6" i="39" s="1"/>
  <c r="AK8" i="39" s="1"/>
  <c r="AK12" i="39" s="1"/>
  <c r="AK41" i="40" s="1"/>
  <c r="AM216" i="24"/>
  <c r="AL15" i="42" s="1"/>
  <c r="AL6" i="39" s="1"/>
  <c r="AL8" i="39" s="1"/>
  <c r="AL12" i="39" s="1"/>
  <c r="AL41" i="40" s="1"/>
  <c r="AN216" i="24"/>
  <c r="AM15" i="42" s="1"/>
  <c r="AM6" i="39" s="1"/>
  <c r="AM8" i="39" s="1"/>
  <c r="AM12" i="39" s="1"/>
  <c r="AM41" i="40" s="1"/>
  <c r="AO216" i="24"/>
  <c r="AP216" i="24"/>
  <c r="AO15" i="42" s="1"/>
  <c r="AO6" i="39" s="1"/>
  <c r="AO8" i="39" s="1"/>
  <c r="AO12" i="39" s="1"/>
  <c r="AO41" i="40" s="1"/>
  <c r="AQ216" i="24"/>
  <c r="AP15" i="42" s="1"/>
  <c r="AP6" i="39" s="1"/>
  <c r="AP8" i="39" s="1"/>
  <c r="AP12" i="39" s="1"/>
  <c r="AP41" i="40" s="1"/>
  <c r="AR216" i="24"/>
  <c r="AQ15" i="42" s="1"/>
  <c r="AQ6" i="39" s="1"/>
  <c r="AQ8" i="39" s="1"/>
  <c r="AQ12" i="39" s="1"/>
  <c r="AQ41" i="40" s="1"/>
  <c r="AS216" i="24"/>
  <c r="AT216" i="24"/>
  <c r="AS15" i="42" s="1"/>
  <c r="AS6" i="39" s="1"/>
  <c r="AS8" i="39" s="1"/>
  <c r="AS12" i="39" s="1"/>
  <c r="AS41" i="40" s="1"/>
  <c r="AU216" i="24"/>
  <c r="AV216" i="24"/>
  <c r="AU15" i="42" s="1"/>
  <c r="AU6" i="39" s="1"/>
  <c r="AU8" i="39" s="1"/>
  <c r="AU12" i="39" s="1"/>
  <c r="AU41" i="40" s="1"/>
  <c r="AW216" i="24"/>
  <c r="AV15" i="42" s="1"/>
  <c r="AV6" i="39" s="1"/>
  <c r="AV8" i="39" s="1"/>
  <c r="AV12" i="39" s="1"/>
  <c r="AV41" i="40" s="1"/>
  <c r="AX216" i="24"/>
  <c r="AW15" i="42" s="1"/>
  <c r="AW6" i="39" s="1"/>
  <c r="AW8" i="39" s="1"/>
  <c r="AW12" i="39" s="1"/>
  <c r="AW41" i="40" s="1"/>
  <c r="AY216" i="24"/>
  <c r="AX15" i="42" s="1"/>
  <c r="AX6" i="39" s="1"/>
  <c r="AX8" i="39" s="1"/>
  <c r="AX12" i="39" s="1"/>
  <c r="AX41" i="40" s="1"/>
  <c r="AZ216" i="24"/>
  <c r="AY15" i="42" s="1"/>
  <c r="AY6" i="39" s="1"/>
  <c r="AY8" i="39" s="1"/>
  <c r="AY12" i="39" s="1"/>
  <c r="AY41" i="40" s="1"/>
  <c r="D40" i="43" s="1"/>
  <c r="BA216" i="24"/>
  <c r="AZ15" i="42" s="1"/>
  <c r="AZ6" i="39" s="1"/>
  <c r="AZ8" i="39" s="1"/>
  <c r="AZ12" i="39" s="1"/>
  <c r="AZ41" i="40" s="1"/>
  <c r="BB216" i="24"/>
  <c r="BA15" i="42" s="1"/>
  <c r="BA6" i="39" s="1"/>
  <c r="BA8" i="39" s="1"/>
  <c r="BA12" i="39" s="1"/>
  <c r="BA41" i="40" s="1"/>
  <c r="BC216" i="24"/>
  <c r="BB15" i="42" s="1"/>
  <c r="BB6" i="39" s="1"/>
  <c r="BB8" i="39" s="1"/>
  <c r="BB12" i="39" s="1"/>
  <c r="BB41" i="40" s="1"/>
  <c r="BD216" i="24"/>
  <c r="BC15" i="42" s="1"/>
  <c r="BC6" i="39" s="1"/>
  <c r="BC8" i="39" s="1"/>
  <c r="BC12" i="39" s="1"/>
  <c r="BC41" i="40" s="1"/>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BA191" i="24"/>
  <c r="BB191" i="24"/>
  <c r="BC191" i="24"/>
  <c r="BD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G165" i="24"/>
  <c r="F13" i="42" s="1"/>
  <c r="F27" i="36" s="1"/>
  <c r="H165" i="24"/>
  <c r="G13" i="42" s="1"/>
  <c r="G27" i="36" s="1"/>
  <c r="J165" i="24"/>
  <c r="I13" i="42" s="1"/>
  <c r="I27" i="36" s="1"/>
  <c r="K165" i="24"/>
  <c r="J13" i="42" s="1"/>
  <c r="J27" i="36" s="1"/>
  <c r="L165" i="24"/>
  <c r="K13" i="42" s="1"/>
  <c r="K27" i="36" s="1"/>
  <c r="M165" i="24"/>
  <c r="L13" i="42" s="1"/>
  <c r="L27" i="36" s="1"/>
  <c r="N165" i="24"/>
  <c r="M13" i="42" s="1"/>
  <c r="M27" i="36" s="1"/>
  <c r="O165" i="24"/>
  <c r="N13" i="42" s="1"/>
  <c r="N27" i="36" s="1"/>
  <c r="P165" i="24"/>
  <c r="O13" i="42" s="1"/>
  <c r="O27" i="36" s="1"/>
  <c r="Q165" i="24"/>
  <c r="P13" i="42" s="1"/>
  <c r="P27" i="36" s="1"/>
  <c r="R165" i="24"/>
  <c r="Q13" i="42" s="1"/>
  <c r="Q27" i="36" s="1"/>
  <c r="S165" i="24"/>
  <c r="R13" i="42" s="1"/>
  <c r="R27" i="36" s="1"/>
  <c r="T165" i="24"/>
  <c r="S13" i="42" s="1"/>
  <c r="S27" i="36" s="1"/>
  <c r="U165" i="24"/>
  <c r="T13" i="42" s="1"/>
  <c r="T27" i="36" s="1"/>
  <c r="V165" i="24"/>
  <c r="U13" i="42" s="1"/>
  <c r="U27" i="36" s="1"/>
  <c r="W165" i="24"/>
  <c r="V13" i="42" s="1"/>
  <c r="V27" i="36" s="1"/>
  <c r="X165" i="24"/>
  <c r="W13" i="42" s="1"/>
  <c r="W27" i="36" s="1"/>
  <c r="Y165" i="24"/>
  <c r="X13" i="42" s="1"/>
  <c r="X27" i="36" s="1"/>
  <c r="Z165" i="24"/>
  <c r="Y13" i="42" s="1"/>
  <c r="Y27" i="36" s="1"/>
  <c r="AA165" i="24"/>
  <c r="Z13" i="42" s="1"/>
  <c r="Z27" i="36" s="1"/>
  <c r="AB165" i="24"/>
  <c r="AA13" i="42" s="1"/>
  <c r="AA27" i="36" s="1"/>
  <c r="AC165" i="24"/>
  <c r="AB13" i="42" s="1"/>
  <c r="AB27" i="36" s="1"/>
  <c r="AD165" i="24"/>
  <c r="AC13" i="42" s="1"/>
  <c r="AC27" i="36" s="1"/>
  <c r="AE165" i="24"/>
  <c r="AD13" i="42" s="1"/>
  <c r="AD27" i="36" s="1"/>
  <c r="AF165" i="24"/>
  <c r="AE13" i="42" s="1"/>
  <c r="AE27" i="36" s="1"/>
  <c r="AG165" i="24"/>
  <c r="AF13" i="42" s="1"/>
  <c r="AF27" i="36" s="1"/>
  <c r="AH165" i="24"/>
  <c r="AG13" i="42" s="1"/>
  <c r="AG27" i="36" s="1"/>
  <c r="AI165" i="24"/>
  <c r="AH13" i="42" s="1"/>
  <c r="AH27" i="36" s="1"/>
  <c r="AJ165" i="24"/>
  <c r="AI13" i="42" s="1"/>
  <c r="AI27" i="36" s="1"/>
  <c r="AK165" i="24"/>
  <c r="AJ13" i="42" s="1"/>
  <c r="AJ27" i="36" s="1"/>
  <c r="AL165" i="24"/>
  <c r="AK13" i="42" s="1"/>
  <c r="AK27" i="36" s="1"/>
  <c r="AM165" i="24"/>
  <c r="AL13" i="42" s="1"/>
  <c r="AL27" i="36" s="1"/>
  <c r="AN165" i="24"/>
  <c r="AM13" i="42" s="1"/>
  <c r="AM27" i="36" s="1"/>
  <c r="AO165" i="24"/>
  <c r="AN13" i="42" s="1"/>
  <c r="AN27" i="36" s="1"/>
  <c r="AP165" i="24"/>
  <c r="AO13" i="42" s="1"/>
  <c r="AO27" i="36" s="1"/>
  <c r="AQ165" i="24"/>
  <c r="AP13" i="42" s="1"/>
  <c r="AP27" i="36" s="1"/>
  <c r="AR165" i="24"/>
  <c r="AQ13" i="42" s="1"/>
  <c r="AQ27" i="36" s="1"/>
  <c r="AS165" i="24"/>
  <c r="AR13" i="42" s="1"/>
  <c r="AR27" i="36" s="1"/>
  <c r="AT165" i="24"/>
  <c r="AS13" i="42" s="1"/>
  <c r="AS27" i="36" s="1"/>
  <c r="AU165" i="24"/>
  <c r="AT13" i="42" s="1"/>
  <c r="AT27" i="36" s="1"/>
  <c r="AV165" i="24"/>
  <c r="AU13" i="42" s="1"/>
  <c r="AU27" i="36" s="1"/>
  <c r="AW165" i="24"/>
  <c r="AV13" i="42" s="1"/>
  <c r="AV27" i="36" s="1"/>
  <c r="AX165" i="24"/>
  <c r="AW13" i="42" s="1"/>
  <c r="AW27" i="36" s="1"/>
  <c r="AY165" i="24"/>
  <c r="AX13" i="42" s="1"/>
  <c r="AX27" i="36" s="1"/>
  <c r="AZ165" i="24"/>
  <c r="AY13" i="42" s="1"/>
  <c r="AY27" i="36" s="1"/>
  <c r="BA165" i="24"/>
  <c r="AZ13" i="42" s="1"/>
  <c r="AZ27" i="36" s="1"/>
  <c r="BB165" i="24"/>
  <c r="BA13" i="42" s="1"/>
  <c r="BA27" i="36" s="1"/>
  <c r="BC165" i="24"/>
  <c r="BB13" i="42" s="1"/>
  <c r="BB27" i="36" s="1"/>
  <c r="BD165" i="24"/>
  <c r="BC13" i="42" s="1"/>
  <c r="BC27" i="36" s="1"/>
  <c r="G153" i="24"/>
  <c r="H153" i="24"/>
  <c r="I153" i="24"/>
  <c r="J153" i="24"/>
  <c r="K153" i="24"/>
  <c r="L153" i="24"/>
  <c r="M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G133" i="24"/>
  <c r="F11" i="42" s="1"/>
  <c r="F25" i="36" s="1"/>
  <c r="H133" i="24"/>
  <c r="G11" i="42" s="1"/>
  <c r="G25" i="36" s="1"/>
  <c r="I133" i="24"/>
  <c r="H11" i="42" s="1"/>
  <c r="H25" i="36" s="1"/>
  <c r="J133" i="24"/>
  <c r="I11" i="42" s="1"/>
  <c r="I25" i="36" s="1"/>
  <c r="K133" i="24"/>
  <c r="J11" i="42" s="1"/>
  <c r="J25" i="36" s="1"/>
  <c r="L133" i="24"/>
  <c r="K11" i="42" s="1"/>
  <c r="K25" i="36" s="1"/>
  <c r="M133" i="24"/>
  <c r="L11" i="42" s="1"/>
  <c r="L25" i="36" s="1"/>
  <c r="N133" i="24"/>
  <c r="M11" i="42" s="1"/>
  <c r="M25" i="36" s="1"/>
  <c r="O133" i="24"/>
  <c r="N11" i="42" s="1"/>
  <c r="N25" i="36" s="1"/>
  <c r="P133" i="24"/>
  <c r="O11" i="42" s="1"/>
  <c r="O25" i="36" s="1"/>
  <c r="Q133" i="24"/>
  <c r="P11" i="42" s="1"/>
  <c r="P25" i="36" s="1"/>
  <c r="R133" i="24"/>
  <c r="Q11" i="42" s="1"/>
  <c r="Q25" i="36" s="1"/>
  <c r="S133" i="24"/>
  <c r="R11" i="42" s="1"/>
  <c r="R25" i="36" s="1"/>
  <c r="T133" i="24"/>
  <c r="S11" i="42" s="1"/>
  <c r="S25" i="36" s="1"/>
  <c r="U133" i="24"/>
  <c r="T11" i="42" s="1"/>
  <c r="T25" i="36" s="1"/>
  <c r="V133" i="24"/>
  <c r="U11" i="42" s="1"/>
  <c r="U25" i="36" s="1"/>
  <c r="W133" i="24"/>
  <c r="V11" i="42" s="1"/>
  <c r="V25" i="36" s="1"/>
  <c r="X133" i="24"/>
  <c r="W11" i="42" s="1"/>
  <c r="W25" i="36" s="1"/>
  <c r="Y133" i="24"/>
  <c r="X11" i="42" s="1"/>
  <c r="X25" i="36" s="1"/>
  <c r="Z133" i="24"/>
  <c r="Y11" i="42" s="1"/>
  <c r="Y25" i="36" s="1"/>
  <c r="AA133" i="24"/>
  <c r="Z11" i="42" s="1"/>
  <c r="Z25" i="36" s="1"/>
  <c r="AB133" i="24"/>
  <c r="AA11" i="42" s="1"/>
  <c r="AA25" i="36" s="1"/>
  <c r="AC133" i="24"/>
  <c r="AB11" i="42" s="1"/>
  <c r="AB25" i="36" s="1"/>
  <c r="AD133" i="24"/>
  <c r="AC11" i="42" s="1"/>
  <c r="AC25" i="36" s="1"/>
  <c r="AE133" i="24"/>
  <c r="AD11" i="42" s="1"/>
  <c r="AD25" i="36" s="1"/>
  <c r="AF133" i="24"/>
  <c r="AE11" i="42" s="1"/>
  <c r="AE25" i="36" s="1"/>
  <c r="AG133" i="24"/>
  <c r="AF11" i="42" s="1"/>
  <c r="AF25" i="36" s="1"/>
  <c r="AH133" i="24"/>
  <c r="AG11" i="42" s="1"/>
  <c r="AG25" i="36" s="1"/>
  <c r="AI133" i="24"/>
  <c r="AH11" i="42" s="1"/>
  <c r="AH25" i="36" s="1"/>
  <c r="AJ133" i="24"/>
  <c r="AI11" i="42" s="1"/>
  <c r="AI25" i="36" s="1"/>
  <c r="AK133" i="24"/>
  <c r="AJ11" i="42" s="1"/>
  <c r="AJ25" i="36" s="1"/>
  <c r="AL133" i="24"/>
  <c r="AK11" i="42" s="1"/>
  <c r="AK25" i="36" s="1"/>
  <c r="AM133" i="24"/>
  <c r="AL11" i="42" s="1"/>
  <c r="AL25" i="36" s="1"/>
  <c r="AN133" i="24"/>
  <c r="AM11" i="42" s="1"/>
  <c r="AM25" i="36" s="1"/>
  <c r="AO133" i="24"/>
  <c r="AN11" i="42" s="1"/>
  <c r="AN25" i="36" s="1"/>
  <c r="AP133" i="24"/>
  <c r="AO11" i="42" s="1"/>
  <c r="AO25" i="36" s="1"/>
  <c r="AQ133" i="24"/>
  <c r="AP11" i="42" s="1"/>
  <c r="AP25" i="36" s="1"/>
  <c r="AR133" i="24"/>
  <c r="AQ11" i="42" s="1"/>
  <c r="AQ25" i="36" s="1"/>
  <c r="AS133" i="24"/>
  <c r="AR11" i="42" s="1"/>
  <c r="AR25" i="36" s="1"/>
  <c r="AT133" i="24"/>
  <c r="AS11" i="42" s="1"/>
  <c r="AS25" i="36" s="1"/>
  <c r="AU133" i="24"/>
  <c r="AT11" i="42" s="1"/>
  <c r="AT25" i="36" s="1"/>
  <c r="AV133" i="24"/>
  <c r="AU11" i="42" s="1"/>
  <c r="AU25" i="36" s="1"/>
  <c r="AW133" i="24"/>
  <c r="AV11" i="42" s="1"/>
  <c r="AV25" i="36" s="1"/>
  <c r="AX133" i="24"/>
  <c r="AW11" i="42" s="1"/>
  <c r="AW25" i="36" s="1"/>
  <c r="AY133" i="24"/>
  <c r="AX11" i="42" s="1"/>
  <c r="AX25" i="36" s="1"/>
  <c r="AZ133" i="24"/>
  <c r="AY11" i="42" s="1"/>
  <c r="AY25" i="36" s="1"/>
  <c r="BA133" i="24"/>
  <c r="AZ11" i="42" s="1"/>
  <c r="AZ25" i="36" s="1"/>
  <c r="BB133" i="24"/>
  <c r="BA11" i="42" s="1"/>
  <c r="BA25" i="36" s="1"/>
  <c r="BC133" i="24"/>
  <c r="BB11" i="42" s="1"/>
  <c r="BB25" i="36" s="1"/>
  <c r="BD133" i="24"/>
  <c r="BC11" i="42" s="1"/>
  <c r="BC25" i="36" s="1"/>
  <c r="G123" i="24"/>
  <c r="F10" i="42" s="1"/>
  <c r="F24" i="36" s="1"/>
  <c r="H123" i="24"/>
  <c r="I123" i="24"/>
  <c r="J123" i="24"/>
  <c r="K123" i="24"/>
  <c r="L123" i="24"/>
  <c r="M123" i="24"/>
  <c r="N123" i="24"/>
  <c r="O123" i="24"/>
  <c r="P123" i="24"/>
  <c r="Q123" i="24"/>
  <c r="R123" i="24"/>
  <c r="S123" i="24"/>
  <c r="T123" i="24"/>
  <c r="U123" i="24"/>
  <c r="V123" i="24"/>
  <c r="W123" i="24"/>
  <c r="X123" i="24"/>
  <c r="Y123" i="24"/>
  <c r="X10" i="42" s="1"/>
  <c r="X24" i="36" s="1"/>
  <c r="Z123" i="24"/>
  <c r="AA123" i="24"/>
  <c r="Y21" i="77"/>
  <c r="AB123" i="24"/>
  <c r="AC123" i="24"/>
  <c r="AD123" i="24"/>
  <c r="AE123" i="24"/>
  <c r="AF123" i="24"/>
  <c r="AE10" i="42" s="1"/>
  <c r="AE24" i="36" s="1"/>
  <c r="AG123" i="24"/>
  <c r="AF10" i="42" s="1"/>
  <c r="AF24" i="36" s="1"/>
  <c r="AH123" i="24"/>
  <c r="AG10" i="42" s="1"/>
  <c r="AG24" i="36" s="1"/>
  <c r="AI123" i="24"/>
  <c r="AH10" i="42" s="1"/>
  <c r="AH24" i="36" s="1"/>
  <c r="AJ123" i="24"/>
  <c r="AI10" i="42" s="1"/>
  <c r="AI24" i="36" s="1"/>
  <c r="AK123" i="24"/>
  <c r="AJ10" i="42" s="1"/>
  <c r="AJ24" i="36" s="1"/>
  <c r="AL123" i="24"/>
  <c r="AK10" i="42" s="1"/>
  <c r="AK24" i="36" s="1"/>
  <c r="AM123" i="24"/>
  <c r="AL10" i="42" s="1"/>
  <c r="AL24" i="36" s="1"/>
  <c r="AN123" i="24"/>
  <c r="AM10" i="42" s="1"/>
  <c r="AM24" i="36" s="1"/>
  <c r="AO123" i="24"/>
  <c r="AN10" i="42" s="1"/>
  <c r="AN24" i="36" s="1"/>
  <c r="AP123" i="24"/>
  <c r="AO10" i="42" s="1"/>
  <c r="AO24" i="36" s="1"/>
  <c r="AQ123" i="24"/>
  <c r="AP10" i="42" s="1"/>
  <c r="AP24" i="36" s="1"/>
  <c r="AR123" i="24"/>
  <c r="AQ10" i="42" s="1"/>
  <c r="AQ24" i="36" s="1"/>
  <c r="AS123" i="24"/>
  <c r="AR10" i="42" s="1"/>
  <c r="AR24" i="36" s="1"/>
  <c r="AT123" i="24"/>
  <c r="AS10" i="42" s="1"/>
  <c r="AS24" i="36" s="1"/>
  <c r="AU123" i="24"/>
  <c r="AT10" i="42" s="1"/>
  <c r="AT24" i="36" s="1"/>
  <c r="AV123" i="24"/>
  <c r="AU10" i="42" s="1"/>
  <c r="AU24" i="36" s="1"/>
  <c r="AW123" i="24"/>
  <c r="AV10" i="42" s="1"/>
  <c r="AV24" i="36" s="1"/>
  <c r="AX123" i="24"/>
  <c r="AW10" i="42" s="1"/>
  <c r="AW24" i="36" s="1"/>
  <c r="AY123" i="24"/>
  <c r="AX10" i="42" s="1"/>
  <c r="AX24" i="36" s="1"/>
  <c r="AZ123" i="24"/>
  <c r="AY10" i="42" s="1"/>
  <c r="AY24" i="36" s="1"/>
  <c r="BA123" i="24"/>
  <c r="AZ10" i="42" s="1"/>
  <c r="AZ24" i="36" s="1"/>
  <c r="BB123" i="24"/>
  <c r="BA10" i="42" s="1"/>
  <c r="BA24" i="36" s="1"/>
  <c r="BC123" i="24"/>
  <c r="BB10" i="42" s="1"/>
  <c r="BB24" i="36" s="1"/>
  <c r="BD123" i="24"/>
  <c r="BC10" i="42" s="1"/>
  <c r="BC24" i="36" s="1"/>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F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G62" i="24"/>
  <c r="H62" i="24"/>
  <c r="I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G48" i="24"/>
  <c r="H48" i="24"/>
  <c r="J48" i="24"/>
  <c r="K48" i="24"/>
  <c r="L48" i="24"/>
  <c r="M48" i="24"/>
  <c r="N48" i="24"/>
  <c r="O48" i="24"/>
  <c r="P48" i="24"/>
  <c r="Q48" i="24"/>
  <c r="R48" i="24"/>
  <c r="S48" i="24"/>
  <c r="T48" i="24"/>
  <c r="U48" i="24"/>
  <c r="V48" i="24"/>
  <c r="W48" i="24"/>
  <c r="X48" i="24"/>
  <c r="Y48" i="24"/>
  <c r="Z48" i="24"/>
  <c r="AA48" i="24"/>
  <c r="AB48" i="24"/>
  <c r="AC48" i="24"/>
  <c r="AE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K25" i="24"/>
  <c r="AL25" i="24"/>
  <c r="AM25" i="24"/>
  <c r="AN25" i="24"/>
  <c r="AO25" i="24"/>
  <c r="AP25" i="24"/>
  <c r="AQ25" i="24"/>
  <c r="AR25" i="24"/>
  <c r="AS25" i="24"/>
  <c r="AT25" i="24"/>
  <c r="AU25" i="24"/>
  <c r="AV25" i="24"/>
  <c r="AW25" i="24"/>
  <c r="AX25" i="24"/>
  <c r="AY25" i="24"/>
  <c r="AZ25" i="24"/>
  <c r="BA25" i="24"/>
  <c r="BB25" i="24"/>
  <c r="BC25" i="24"/>
  <c r="BD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F216" i="24"/>
  <c r="E15" i="42" s="1"/>
  <c r="E6" i="39" s="1"/>
  <c r="F213" i="24"/>
  <c r="F210" i="24"/>
  <c r="F207" i="24"/>
  <c r="F204" i="24"/>
  <c r="F201" i="24"/>
  <c r="F198" i="24"/>
  <c r="F194" i="24"/>
  <c r="F191" i="24"/>
  <c r="F184" i="24"/>
  <c r="F173" i="24"/>
  <c r="F165" i="24"/>
  <c r="E13" i="42" s="1"/>
  <c r="E27" i="36" s="1"/>
  <c r="F153" i="24"/>
  <c r="F143" i="24"/>
  <c r="F133" i="24"/>
  <c r="E11" i="42" s="1"/>
  <c r="E25" i="36" s="1"/>
  <c r="F123" i="24"/>
  <c r="E10" i="42" s="1"/>
  <c r="E24" i="36" s="1"/>
  <c r="F108" i="24"/>
  <c r="F97" i="24"/>
  <c r="F86" i="24"/>
  <c r="F69" i="24"/>
  <c r="F62" i="24"/>
  <c r="F54" i="24"/>
  <c r="F48" i="24"/>
  <c r="F41" i="24"/>
  <c r="F31" i="24"/>
  <c r="F25" i="24"/>
  <c r="F15" i="24"/>
  <c r="F7" i="24"/>
  <c r="AT15" i="42" l="1"/>
  <c r="AT6" i="39" s="1"/>
  <c r="AT8" i="39" s="1"/>
  <c r="AT12" i="39" s="1"/>
  <c r="AT41" i="40" s="1"/>
  <c r="AU230" i="24"/>
  <c r="AU232" i="24" s="1"/>
  <c r="AN15" i="42"/>
  <c r="AN6" i="39" s="1"/>
  <c r="AN8" i="39" s="1"/>
  <c r="AN12" i="39" s="1"/>
  <c r="AN41" i="40" s="1"/>
  <c r="AO230" i="24"/>
  <c r="AO232" i="24" s="1"/>
  <c r="AR15" i="42"/>
  <c r="AR6" i="39" s="1"/>
  <c r="AR8" i="39" s="1"/>
  <c r="AR12" i="39" s="1"/>
  <c r="AR41" i="40" s="1"/>
  <c r="AS230" i="24"/>
  <c r="AS232" i="24" s="1"/>
  <c r="F190" i="31"/>
  <c r="BE231" i="24"/>
  <c r="BD27" i="36"/>
  <c r="BB29" i="36"/>
  <c r="BB13" i="40" s="1"/>
  <c r="BA29" i="36"/>
  <c r="BA13" i="40" s="1"/>
  <c r="AY29" i="36"/>
  <c r="AY13" i="40" s="1"/>
  <c r="D12" i="43" s="1"/>
  <c r="AW29" i="36"/>
  <c r="AW13" i="40" s="1"/>
  <c r="AU29" i="36"/>
  <c r="AU13" i="40" s="1"/>
  <c r="AS29" i="36"/>
  <c r="AS13" i="40" s="1"/>
  <c r="AQ29" i="36"/>
  <c r="AQ13" i="40" s="1"/>
  <c r="AO29" i="36"/>
  <c r="AO13" i="40" s="1"/>
  <c r="AM29" i="36"/>
  <c r="AM13" i="40" s="1"/>
  <c r="AK29" i="36"/>
  <c r="AK13" i="40" s="1"/>
  <c r="AI29" i="36"/>
  <c r="AI13" i="40" s="1"/>
  <c r="AG29" i="36"/>
  <c r="AG13" i="40" s="1"/>
  <c r="AE29" i="36"/>
  <c r="AE13" i="40" s="1"/>
  <c r="F29" i="36"/>
  <c r="F13" i="40" s="1"/>
  <c r="BD25" i="36"/>
  <c r="E8" i="39"/>
  <c r="BD6" i="39"/>
  <c r="BC29" i="36"/>
  <c r="BC13" i="40" s="1"/>
  <c r="AZ29" i="36"/>
  <c r="AZ13" i="40" s="1"/>
  <c r="AX29" i="36"/>
  <c r="AX13" i="40" s="1"/>
  <c r="AV29" i="36"/>
  <c r="AV13" i="40" s="1"/>
  <c r="AT29" i="36"/>
  <c r="AT13" i="40" s="1"/>
  <c r="AR29" i="36"/>
  <c r="AR13" i="40" s="1"/>
  <c r="AP29" i="36"/>
  <c r="AP13" i="40" s="1"/>
  <c r="AN29" i="36"/>
  <c r="AN13" i="40" s="1"/>
  <c r="AL29" i="36"/>
  <c r="AL13" i="40" s="1"/>
  <c r="BF24" i="36"/>
  <c r="AJ29" i="36"/>
  <c r="AH29" i="36"/>
  <c r="AH13" i="40" s="1"/>
  <c r="AF29" i="36"/>
  <c r="AF13" i="40" s="1"/>
  <c r="AC21" i="77"/>
  <c r="AD10" i="42"/>
  <c r="AD24" i="36" s="1"/>
  <c r="AD29" i="36" s="1"/>
  <c r="AD13" i="40" s="1"/>
  <c r="AA21" i="77"/>
  <c r="AB10" i="42"/>
  <c r="AB24" i="36" s="1"/>
  <c r="AB29" i="36" s="1"/>
  <c r="AB13" i="40" s="1"/>
  <c r="W21" i="77"/>
  <c r="Y10" i="42"/>
  <c r="Y24" i="36" s="1"/>
  <c r="Y29" i="36" s="1"/>
  <c r="Y13" i="40" s="1"/>
  <c r="U21" i="77"/>
  <c r="W10" i="42"/>
  <c r="W24" i="36" s="1"/>
  <c r="W29" i="36" s="1"/>
  <c r="W13" i="40" s="1"/>
  <c r="S21" i="77"/>
  <c r="U10" i="42"/>
  <c r="U24" i="36" s="1"/>
  <c r="U29" i="36" s="1"/>
  <c r="U13" i="40" s="1"/>
  <c r="Q21" i="77"/>
  <c r="S10" i="42"/>
  <c r="S24" i="36" s="1"/>
  <c r="S29" i="36" s="1"/>
  <c r="S13" i="40" s="1"/>
  <c r="O21" i="77"/>
  <c r="Q10" i="42"/>
  <c r="Q24" i="36" s="1"/>
  <c r="Q29" i="36" s="1"/>
  <c r="Q13" i="40" s="1"/>
  <c r="M21" i="77"/>
  <c r="O10" i="42"/>
  <c r="O24" i="36" s="1"/>
  <c r="O29" i="36" s="1"/>
  <c r="O13" i="40" s="1"/>
  <c r="K21" i="77"/>
  <c r="M10" i="42"/>
  <c r="M24" i="36" s="1"/>
  <c r="M29" i="36" s="1"/>
  <c r="M13" i="40" s="1"/>
  <c r="I21" i="77"/>
  <c r="K10" i="42"/>
  <c r="K24" i="36" s="1"/>
  <c r="K29" i="36" s="1"/>
  <c r="K13" i="40" s="1"/>
  <c r="G21" i="77"/>
  <c r="I10" i="42"/>
  <c r="I24" i="36" s="1"/>
  <c r="I29" i="36" s="1"/>
  <c r="I13" i="40" s="1"/>
  <c r="E21" i="77"/>
  <c r="G10" i="42"/>
  <c r="G24" i="36" s="1"/>
  <c r="G29" i="36" s="1"/>
  <c r="G13" i="40" s="1"/>
  <c r="BF25" i="36"/>
  <c r="BE25" i="36"/>
  <c r="AJ8" i="39"/>
  <c r="BF6" i="39"/>
  <c r="X8" i="39"/>
  <c r="BE6" i="39"/>
  <c r="F138" i="31"/>
  <c r="BD12" i="42"/>
  <c r="D26" i="36" s="1"/>
  <c r="E29" i="36"/>
  <c r="AB21" i="77"/>
  <c r="AC10" i="42"/>
  <c r="AC24" i="36" s="1"/>
  <c r="AC29" i="36" s="1"/>
  <c r="AC13" i="40" s="1"/>
  <c r="Z21" i="77"/>
  <c r="AA10" i="42"/>
  <c r="AA24" i="36" s="1"/>
  <c r="AA29" i="36" s="1"/>
  <c r="AA13" i="40" s="1"/>
  <c r="X21" i="77"/>
  <c r="Z10" i="42"/>
  <c r="Z24" i="36" s="1"/>
  <c r="Z29" i="36" s="1"/>
  <c r="Z13" i="40" s="1"/>
  <c r="X29" i="36"/>
  <c r="T21" i="77"/>
  <c r="V10" i="42"/>
  <c r="V24" i="36" s="1"/>
  <c r="V29" i="36" s="1"/>
  <c r="V13" i="40" s="1"/>
  <c r="R21" i="77"/>
  <c r="T10" i="42"/>
  <c r="T24" i="36" s="1"/>
  <c r="T29" i="36" s="1"/>
  <c r="T13" i="40" s="1"/>
  <c r="P21" i="77"/>
  <c r="R10" i="42"/>
  <c r="R24" i="36" s="1"/>
  <c r="R29" i="36" s="1"/>
  <c r="R13" i="40" s="1"/>
  <c r="N21" i="77"/>
  <c r="P10" i="42"/>
  <c r="P24" i="36" s="1"/>
  <c r="P29" i="36" s="1"/>
  <c r="P13" i="40" s="1"/>
  <c r="L21" i="77"/>
  <c r="N10" i="42"/>
  <c r="N24" i="36" s="1"/>
  <c r="N29" i="36" s="1"/>
  <c r="N13" i="40" s="1"/>
  <c r="J21" i="77"/>
  <c r="L10" i="42"/>
  <c r="L24" i="36" s="1"/>
  <c r="L29" i="36" s="1"/>
  <c r="L13" i="40" s="1"/>
  <c r="H21" i="77"/>
  <c r="J10" i="42"/>
  <c r="J24" i="36" s="1"/>
  <c r="J29" i="36" s="1"/>
  <c r="J13" i="40" s="1"/>
  <c r="F21" i="77"/>
  <c r="H10" i="42"/>
  <c r="H24" i="36" s="1"/>
  <c r="H29" i="36" s="1"/>
  <c r="H13" i="40" s="1"/>
  <c r="BF27" i="36"/>
  <c r="BE27" i="36"/>
  <c r="Q190" i="24"/>
  <c r="P14" i="42" s="1"/>
  <c r="G190" i="24"/>
  <c r="F14" i="42" s="1"/>
  <c r="K190" i="24"/>
  <c r="J14" i="42" s="1"/>
  <c r="BF222" i="24"/>
  <c r="AN190" i="24"/>
  <c r="AM14" i="42" s="1"/>
  <c r="AD190" i="24"/>
  <c r="AC14" i="42" s="1"/>
  <c r="AB190" i="24"/>
  <c r="AA14" i="42" s="1"/>
  <c r="AA190" i="24"/>
  <c r="Z14" i="42" s="1"/>
  <c r="W190" i="24"/>
  <c r="V14" i="42" s="1"/>
  <c r="C25" i="26"/>
  <c r="C49" i="26"/>
  <c r="BA5" i="24"/>
  <c r="I190" i="24"/>
  <c r="H14" i="42" s="1"/>
  <c r="BC190" i="24"/>
  <c r="BB14" i="42" s="1"/>
  <c r="BB190" i="24"/>
  <c r="BA14" i="42" s="1"/>
  <c r="AA122" i="24"/>
  <c r="Z9" i="42" s="1"/>
  <c r="G6" i="24"/>
  <c r="F6" i="42" s="1"/>
  <c r="BA6" i="24"/>
  <c r="AZ6" i="42" s="1"/>
  <c r="BB5" i="24"/>
  <c r="AA6" i="24"/>
  <c r="Z6" i="42" s="1"/>
  <c r="J121" i="24"/>
  <c r="L122" i="24"/>
  <c r="K9" i="42" s="1"/>
  <c r="AZ190" i="24"/>
  <c r="AY14" i="42" s="1"/>
  <c r="AZ5" i="24"/>
  <c r="AY121" i="24"/>
  <c r="AY6" i="24"/>
  <c r="AX6" i="42" s="1"/>
  <c r="P6" i="24"/>
  <c r="O6" i="42" s="1"/>
  <c r="N6" i="24"/>
  <c r="M6" i="42" s="1"/>
  <c r="AA121" i="24"/>
  <c r="M122" i="24"/>
  <c r="L9" i="42" s="1"/>
  <c r="AX190" i="24"/>
  <c r="AW14" i="42" s="1"/>
  <c r="AX5" i="24"/>
  <c r="P5" i="24"/>
  <c r="AX68" i="24"/>
  <c r="P121" i="24"/>
  <c r="G121" i="24"/>
  <c r="N122" i="24"/>
  <c r="H122" i="24"/>
  <c r="G9" i="42" s="1"/>
  <c r="AY5" i="24"/>
  <c r="BB68" i="24"/>
  <c r="AZ68" i="24"/>
  <c r="N121" i="24"/>
  <c r="H121" i="24"/>
  <c r="BA122" i="24"/>
  <c r="P122" i="24"/>
  <c r="O9" i="42" s="1"/>
  <c r="J122" i="24"/>
  <c r="I9" i="42" s="1"/>
  <c r="G122" i="24"/>
  <c r="F9" i="42" s="1"/>
  <c r="D21" i="77"/>
  <c r="BD190" i="24"/>
  <c r="BA190" i="24"/>
  <c r="AZ14" i="42" s="1"/>
  <c r="AY190" i="24"/>
  <c r="AX14" i="42" s="1"/>
  <c r="AU190" i="24"/>
  <c r="AT14" i="42" s="1"/>
  <c r="AK190" i="24"/>
  <c r="AJ14" i="42" s="1"/>
  <c r="AG190" i="24"/>
  <c r="AF14" i="42" s="1"/>
  <c r="X190" i="24"/>
  <c r="W14" i="42" s="1"/>
  <c r="T190" i="24"/>
  <c r="S14" i="42" s="1"/>
  <c r="R190" i="24"/>
  <c r="Q14" i="42" s="1"/>
  <c r="P190" i="24"/>
  <c r="O14" i="42" s="1"/>
  <c r="N190" i="24"/>
  <c r="M14" i="42" s="1"/>
  <c r="L190" i="24"/>
  <c r="K14" i="42" s="1"/>
  <c r="J190" i="24"/>
  <c r="I14" i="42" s="1"/>
  <c r="H190" i="24"/>
  <c r="G14" i="42" s="1"/>
  <c r="BB6" i="24"/>
  <c r="BA6" i="42" s="1"/>
  <c r="AZ6" i="24"/>
  <c r="AY6" i="42" s="1"/>
  <c r="AX6" i="24"/>
  <c r="AW6" i="42" s="1"/>
  <c r="BA68" i="24"/>
  <c r="AY68" i="24"/>
  <c r="P68" i="24"/>
  <c r="BA121" i="24"/>
  <c r="AY122" i="24"/>
  <c r="AX9" i="42" s="1"/>
  <c r="AV190" i="24"/>
  <c r="AU14" i="42" s="1"/>
  <c r="AV121" i="24"/>
  <c r="AV6" i="24"/>
  <c r="AU6" i="42" s="1"/>
  <c r="AT68" i="24"/>
  <c r="AT122" i="24"/>
  <c r="AS9" i="42" s="1"/>
  <c r="AT190" i="24"/>
  <c r="AS14" i="42" s="1"/>
  <c r="AT5" i="24"/>
  <c r="BC122" i="24"/>
  <c r="BB9" i="42" s="1"/>
  <c r="BB122" i="24"/>
  <c r="BA9" i="42" s="1"/>
  <c r="AZ122" i="24"/>
  <c r="AY9" i="42" s="1"/>
  <c r="AX122" i="24"/>
  <c r="AW9" i="42" s="1"/>
  <c r="AV5" i="24"/>
  <c r="AV226" i="24" s="1"/>
  <c r="AT6" i="24"/>
  <c r="AS6" i="42" s="1"/>
  <c r="C21" i="77"/>
  <c r="AD12" i="77"/>
  <c r="C12" i="78" s="1"/>
  <c r="AD16" i="77"/>
  <c r="C16" i="78" s="1"/>
  <c r="AD14" i="77"/>
  <c r="C14" i="78" s="1"/>
  <c r="V21" i="77"/>
  <c r="C16" i="32"/>
  <c r="BA12" i="32"/>
  <c r="AX12" i="32"/>
  <c r="AV12" i="32"/>
  <c r="AT12" i="32"/>
  <c r="AR12" i="32"/>
  <c r="AP12" i="32"/>
  <c r="AN12" i="32"/>
  <c r="AL12" i="32"/>
  <c r="AH12" i="32"/>
  <c r="AF12" i="32"/>
  <c r="AD12" i="32"/>
  <c r="AB12" i="32"/>
  <c r="Z12" i="32"/>
  <c r="W12" i="32"/>
  <c r="U12" i="32"/>
  <c r="S12" i="32"/>
  <c r="Q12" i="32"/>
  <c r="O12" i="32"/>
  <c r="M12" i="32"/>
  <c r="K12" i="32"/>
  <c r="I12" i="32"/>
  <c r="G12" i="32"/>
  <c r="E12" i="32"/>
  <c r="BA14" i="32"/>
  <c r="AX14" i="32"/>
  <c r="AV14" i="32"/>
  <c r="AT14" i="32"/>
  <c r="AR14" i="32"/>
  <c r="AP14" i="32"/>
  <c r="AN14" i="32"/>
  <c r="AL14" i="32"/>
  <c r="AH14" i="32"/>
  <c r="AF14" i="32"/>
  <c r="AD14" i="32"/>
  <c r="AB14" i="32"/>
  <c r="Z14" i="32"/>
  <c r="W14" i="32"/>
  <c r="U14" i="32"/>
  <c r="S14" i="32"/>
  <c r="Q14" i="32"/>
  <c r="O14" i="32"/>
  <c r="M14" i="32"/>
  <c r="K14" i="32"/>
  <c r="I14" i="32"/>
  <c r="G14" i="32"/>
  <c r="E14" i="32"/>
  <c r="BA16" i="32"/>
  <c r="AX16" i="32"/>
  <c r="AV16" i="32"/>
  <c r="AT16" i="32"/>
  <c r="AR16" i="32"/>
  <c r="AP16" i="32"/>
  <c r="AN16" i="32"/>
  <c r="AL16" i="32"/>
  <c r="AH16" i="32"/>
  <c r="AF16" i="32"/>
  <c r="AD16" i="32"/>
  <c r="AB16" i="32"/>
  <c r="Z16" i="32"/>
  <c r="W16" i="32"/>
  <c r="U16" i="32"/>
  <c r="S16" i="32"/>
  <c r="Q16" i="32"/>
  <c r="O16" i="32"/>
  <c r="M16" i="32"/>
  <c r="K16" i="32"/>
  <c r="I16" i="32"/>
  <c r="G16" i="32"/>
  <c r="D16" i="32"/>
  <c r="C12" i="32"/>
  <c r="C14" i="32"/>
  <c r="D23" i="65"/>
  <c r="AZ12" i="32"/>
  <c r="AY12" i="32"/>
  <c r="AW12" i="32"/>
  <c r="AU12" i="32"/>
  <c r="AS12" i="32"/>
  <c r="AQ12" i="32"/>
  <c r="AO12" i="32"/>
  <c r="AM12" i="32"/>
  <c r="AK12" i="32"/>
  <c r="AI12" i="32"/>
  <c r="AG12" i="32"/>
  <c r="AE12" i="32"/>
  <c r="AC12" i="32"/>
  <c r="AA12" i="32"/>
  <c r="Y12" i="32"/>
  <c r="X12" i="32"/>
  <c r="V12" i="32"/>
  <c r="T12" i="32"/>
  <c r="R12" i="32"/>
  <c r="P12" i="32"/>
  <c r="N12" i="32"/>
  <c r="L12" i="32"/>
  <c r="J12" i="32"/>
  <c r="H12" i="32"/>
  <c r="F12" i="32"/>
  <c r="D12" i="32"/>
  <c r="AZ14" i="32"/>
  <c r="AY14" i="32"/>
  <c r="AW14" i="32"/>
  <c r="AU14" i="32"/>
  <c r="AS14" i="32"/>
  <c r="AQ14" i="32"/>
  <c r="AO14" i="32"/>
  <c r="AM14" i="32"/>
  <c r="AK14" i="32"/>
  <c r="AI14" i="32"/>
  <c r="AG14" i="32"/>
  <c r="AE14" i="32"/>
  <c r="AC14" i="32"/>
  <c r="AA14" i="32"/>
  <c r="Y14" i="32"/>
  <c r="X14" i="32"/>
  <c r="V14" i="32"/>
  <c r="T14" i="32"/>
  <c r="R14" i="32"/>
  <c r="P14" i="32"/>
  <c r="N14" i="32"/>
  <c r="L14" i="32"/>
  <c r="J14" i="32"/>
  <c r="H14" i="32"/>
  <c r="F14" i="32"/>
  <c r="D14" i="32"/>
  <c r="AZ16" i="32"/>
  <c r="AY16" i="32"/>
  <c r="AW16" i="32"/>
  <c r="AU16" i="32"/>
  <c r="AS16" i="32"/>
  <c r="AQ16" i="32"/>
  <c r="AO16" i="32"/>
  <c r="AM16" i="32"/>
  <c r="AK16" i="32"/>
  <c r="AI16" i="32"/>
  <c r="AG16" i="32"/>
  <c r="AE16" i="32"/>
  <c r="AC16" i="32"/>
  <c r="AA16" i="32"/>
  <c r="Y16" i="32"/>
  <c r="X16" i="32"/>
  <c r="V16" i="32"/>
  <c r="T16" i="32"/>
  <c r="R16" i="32"/>
  <c r="P16" i="32"/>
  <c r="N16" i="32"/>
  <c r="L16" i="32"/>
  <c r="J16" i="32"/>
  <c r="H16" i="32"/>
  <c r="E16" i="32"/>
  <c r="AM190" i="24"/>
  <c r="AL14" i="42" s="1"/>
  <c r="AM122" i="24"/>
  <c r="AL9" i="42" s="1"/>
  <c r="AJ16" i="32"/>
  <c r="AJ14" i="32"/>
  <c r="AM121" i="24"/>
  <c r="AJ10" i="32"/>
  <c r="AJ12" i="32"/>
  <c r="AM68" i="24"/>
  <c r="AM6" i="24"/>
  <c r="AL6" i="42" s="1"/>
  <c r="AM5" i="24"/>
  <c r="AJ8" i="32"/>
  <c r="AL122" i="24"/>
  <c r="AK9" i="42" s="1"/>
  <c r="BD168" i="23"/>
  <c r="AV68" i="24"/>
  <c r="AL68" i="24"/>
  <c r="AD68" i="24"/>
  <c r="AB68" i="24"/>
  <c r="U68" i="24"/>
  <c r="S68" i="24"/>
  <c r="O68" i="24"/>
  <c r="K68" i="24"/>
  <c r="G68" i="24"/>
  <c r="BF168" i="23"/>
  <c r="AL190" i="24"/>
  <c r="AK14" i="42" s="1"/>
  <c r="AL121" i="24"/>
  <c r="AL5" i="24"/>
  <c r="AL6" i="24"/>
  <c r="AK6" i="42" s="1"/>
  <c r="F190" i="24"/>
  <c r="E14" i="42" s="1"/>
  <c r="Q68" i="24"/>
  <c r="AW68" i="24"/>
  <c r="AU68" i="24"/>
  <c r="AS68" i="24"/>
  <c r="AQ68" i="24"/>
  <c r="AO68" i="24"/>
  <c r="AG68" i="24"/>
  <c r="AE68" i="24"/>
  <c r="AC68" i="24"/>
  <c r="Z68" i="24"/>
  <c r="R68" i="24"/>
  <c r="N68" i="24"/>
  <c r="BC121" i="24"/>
  <c r="BB121" i="24"/>
  <c r="AZ121" i="24"/>
  <c r="AX121" i="24"/>
  <c r="AT121" i="24"/>
  <c r="AV122" i="24"/>
  <c r="AU9" i="42" s="1"/>
  <c r="AR122" i="24"/>
  <c r="AQ9" i="42" s="1"/>
  <c r="AP122" i="24"/>
  <c r="AO9" i="42" s="1"/>
  <c r="AJ122" i="24"/>
  <c r="AI9" i="42" s="1"/>
  <c r="AH122" i="24"/>
  <c r="AG9" i="42" s="1"/>
  <c r="AF122" i="24"/>
  <c r="AE9" i="42" s="1"/>
  <c r="S122" i="24"/>
  <c r="R9" i="42" s="1"/>
  <c r="O122" i="24"/>
  <c r="N9" i="42" s="1"/>
  <c r="M6" i="24"/>
  <c r="L6" i="42" s="1"/>
  <c r="AK122" i="24"/>
  <c r="AJ9" i="42" s="1"/>
  <c r="AI122" i="24"/>
  <c r="AH9" i="42" s="1"/>
  <c r="Z122" i="24"/>
  <c r="Y9" i="42" s="1"/>
  <c r="R122" i="24"/>
  <c r="Q9" i="42" s="1"/>
  <c r="M190" i="24"/>
  <c r="L14" i="42" s="1"/>
  <c r="AS190" i="24"/>
  <c r="AR14" i="42" s="1"/>
  <c r="AS121" i="24"/>
  <c r="AS122" i="24"/>
  <c r="AR9" i="42" s="1"/>
  <c r="AS6" i="24"/>
  <c r="AR6" i="42" s="1"/>
  <c r="AS5" i="24"/>
  <c r="AH190" i="24"/>
  <c r="AG14" i="42" s="1"/>
  <c r="AH121" i="24"/>
  <c r="AH68" i="24"/>
  <c r="AH6" i="24"/>
  <c r="AG6" i="42" s="1"/>
  <c r="AH5" i="24"/>
  <c r="AI190" i="24"/>
  <c r="AH14" i="42" s="1"/>
  <c r="AI121" i="24"/>
  <c r="AI68" i="24"/>
  <c r="AI6" i="24"/>
  <c r="AH6" i="42" s="1"/>
  <c r="AI5" i="24"/>
  <c r="AF190" i="24"/>
  <c r="AE14" i="42" s="1"/>
  <c r="AF121" i="24"/>
  <c r="AF68" i="24"/>
  <c r="AF6" i="24"/>
  <c r="AE6" i="42" s="1"/>
  <c r="AF5" i="24"/>
  <c r="AE190" i="24"/>
  <c r="AD14" i="42" s="1"/>
  <c r="AE121" i="24"/>
  <c r="AE122" i="24"/>
  <c r="AD9" i="42" s="1"/>
  <c r="AE6" i="24"/>
  <c r="AD6" i="42" s="1"/>
  <c r="AE5" i="24"/>
  <c r="AC190" i="24"/>
  <c r="AB14" i="42" s="1"/>
  <c r="AC121" i="24"/>
  <c r="AC122" i="24"/>
  <c r="AB9" i="42" s="1"/>
  <c r="AC6" i="24"/>
  <c r="AB6" i="42" s="1"/>
  <c r="AC5" i="24"/>
  <c r="Z190" i="24"/>
  <c r="Y14" i="42" s="1"/>
  <c r="Z121" i="24"/>
  <c r="Z6" i="24"/>
  <c r="Y6" i="42" s="1"/>
  <c r="Z5" i="24"/>
  <c r="Y190" i="24"/>
  <c r="X14" i="42" s="1"/>
  <c r="Y121" i="24"/>
  <c r="Y122" i="24"/>
  <c r="X9" i="42" s="1"/>
  <c r="Y68" i="24"/>
  <c r="Y6" i="24"/>
  <c r="X6" i="42" s="1"/>
  <c r="Y5" i="24"/>
  <c r="AR190" i="24"/>
  <c r="AQ14" i="42" s="1"/>
  <c r="AR121" i="24"/>
  <c r="AR68" i="24"/>
  <c r="AR6" i="24"/>
  <c r="AQ6" i="42" s="1"/>
  <c r="AR5" i="24"/>
  <c r="AQ190" i="24"/>
  <c r="AP14" i="42" s="1"/>
  <c r="AQ121" i="24"/>
  <c r="AQ122" i="24"/>
  <c r="AP9" i="42" s="1"/>
  <c r="AQ6" i="24"/>
  <c r="AP6" i="42" s="1"/>
  <c r="AQ5" i="24"/>
  <c r="AP190" i="24"/>
  <c r="AO14" i="42" s="1"/>
  <c r="AP121" i="24"/>
  <c r="AP68" i="24"/>
  <c r="AP6" i="24"/>
  <c r="AO6" i="42" s="1"/>
  <c r="AP5" i="24"/>
  <c r="AW190" i="24"/>
  <c r="AV14" i="42" s="1"/>
  <c r="AW121" i="24"/>
  <c r="AW122" i="24"/>
  <c r="AV9" i="42" s="1"/>
  <c r="AW6" i="24"/>
  <c r="AV6" i="42" s="1"/>
  <c r="AW5" i="24"/>
  <c r="O190" i="24"/>
  <c r="N14" i="42" s="1"/>
  <c r="O121" i="24"/>
  <c r="O6" i="24"/>
  <c r="N6" i="42" s="1"/>
  <c r="O5" i="24"/>
  <c r="O226" i="24" s="1"/>
  <c r="U190" i="24"/>
  <c r="T14" i="42" s="1"/>
  <c r="U122" i="24"/>
  <c r="T9" i="42" s="1"/>
  <c r="U121" i="24"/>
  <c r="U6" i="24"/>
  <c r="T6" i="42" s="1"/>
  <c r="U5" i="24"/>
  <c r="U226" i="24" s="1"/>
  <c r="S190" i="24"/>
  <c r="R14" i="42" s="1"/>
  <c r="S121" i="24"/>
  <c r="S6" i="24"/>
  <c r="R6" i="42" s="1"/>
  <c r="S5" i="24"/>
  <c r="S226" i="24" s="1"/>
  <c r="V190" i="24"/>
  <c r="U14" i="42" s="1"/>
  <c r="V121" i="24"/>
  <c r="V122" i="24"/>
  <c r="U9" i="42" s="1"/>
  <c r="V68" i="24"/>
  <c r="V6" i="24"/>
  <c r="U6" i="42" s="1"/>
  <c r="V5" i="24"/>
  <c r="V226" i="24" s="1"/>
  <c r="M121" i="24"/>
  <c r="AO190" i="24"/>
  <c r="AN14" i="42" s="1"/>
  <c r="AO121" i="24"/>
  <c r="AO122" i="24"/>
  <c r="AN9" i="42" s="1"/>
  <c r="AO6" i="24"/>
  <c r="AN6" i="42" s="1"/>
  <c r="AO5" i="24"/>
  <c r="AJ190" i="24"/>
  <c r="AI14" i="42" s="1"/>
  <c r="BG194" i="24"/>
  <c r="AJ121" i="24"/>
  <c r="AJ68" i="24"/>
  <c r="AJ6" i="24"/>
  <c r="AI6" i="42" s="1"/>
  <c r="AJ5" i="24"/>
  <c r="BG191" i="24"/>
  <c r="AB121" i="24"/>
  <c r="AB122" i="24"/>
  <c r="AA9" i="42" s="1"/>
  <c r="AB6" i="24"/>
  <c r="AA6" i="42" s="1"/>
  <c r="AB5" i="24"/>
  <c r="W121" i="24"/>
  <c r="W122" i="24"/>
  <c r="V9" i="42" s="1"/>
  <c r="W68" i="24"/>
  <c r="W6" i="24"/>
  <c r="V6" i="42" s="1"/>
  <c r="W5" i="24"/>
  <c r="BG216" i="24"/>
  <c r="BF15" i="42" s="1"/>
  <c r="BG173" i="24"/>
  <c r="AG121" i="24"/>
  <c r="AG122" i="24"/>
  <c r="AF9" i="42" s="1"/>
  <c r="BG97" i="24"/>
  <c r="BG48" i="24"/>
  <c r="AG6" i="24"/>
  <c r="AF6" i="42" s="1"/>
  <c r="BG15" i="24"/>
  <c r="AG5" i="24"/>
  <c r="K121" i="24"/>
  <c r="K122" i="24"/>
  <c r="J9" i="42" s="1"/>
  <c r="K6" i="24"/>
  <c r="J6" i="42" s="1"/>
  <c r="K5" i="24"/>
  <c r="BD121" i="24"/>
  <c r="BD122" i="24"/>
  <c r="BC9" i="42" s="1"/>
  <c r="BD68" i="24"/>
  <c r="BD6" i="24"/>
  <c r="BC6" i="42" s="1"/>
  <c r="BD5" i="24"/>
  <c r="C12" i="52"/>
  <c r="BH207" i="24"/>
  <c r="AN68" i="24"/>
  <c r="BH213" i="24"/>
  <c r="AN121" i="24"/>
  <c r="AN122" i="24"/>
  <c r="AM9" i="42" s="1"/>
  <c r="AN6" i="24"/>
  <c r="AM6" i="42" s="1"/>
  <c r="AN5" i="24"/>
  <c r="BH210" i="24"/>
  <c r="AU121" i="24"/>
  <c r="AU122" i="24"/>
  <c r="AT9" i="42" s="1"/>
  <c r="AU6" i="24"/>
  <c r="AT6" i="42" s="1"/>
  <c r="AU5" i="24"/>
  <c r="T121" i="24"/>
  <c r="T122" i="24"/>
  <c r="S9" i="42" s="1"/>
  <c r="T68" i="24"/>
  <c r="T6" i="24"/>
  <c r="S6" i="42" s="1"/>
  <c r="T5" i="24"/>
  <c r="X121" i="24"/>
  <c r="X122" i="24"/>
  <c r="W9" i="42" s="1"/>
  <c r="X68" i="24"/>
  <c r="X6" i="24"/>
  <c r="W6" i="42" s="1"/>
  <c r="X5" i="24"/>
  <c r="BG213" i="24"/>
  <c r="BG210" i="24"/>
  <c r="BG207" i="24"/>
  <c r="BG201" i="24"/>
  <c r="BG198" i="24"/>
  <c r="BG184" i="24"/>
  <c r="BG153" i="24"/>
  <c r="BG143" i="24"/>
  <c r="AD121" i="24"/>
  <c r="AD122" i="24"/>
  <c r="AC9" i="42" s="1"/>
  <c r="BG108" i="24"/>
  <c r="BG86" i="24"/>
  <c r="BG69" i="24"/>
  <c r="BG62" i="24"/>
  <c r="BG54" i="24"/>
  <c r="BG41" i="24"/>
  <c r="BG31" i="24"/>
  <c r="BG25" i="24"/>
  <c r="AD6" i="24"/>
  <c r="AC6" i="42" s="1"/>
  <c r="AD5" i="24"/>
  <c r="BG7" i="24"/>
  <c r="R121" i="24"/>
  <c r="R6" i="24"/>
  <c r="Q6" i="42" s="1"/>
  <c r="R5" i="24"/>
  <c r="I122" i="24"/>
  <c r="H9" i="42" s="1"/>
  <c r="I68" i="24"/>
  <c r="BH204" i="24"/>
  <c r="BH201" i="24"/>
  <c r="AK121" i="24"/>
  <c r="BH108" i="24"/>
  <c r="BH97" i="24"/>
  <c r="AK68" i="24"/>
  <c r="BH86" i="24"/>
  <c r="AK6" i="24"/>
  <c r="AJ6" i="42" s="1"/>
  <c r="AK5" i="24"/>
  <c r="AK226" i="24" s="1"/>
  <c r="Q121" i="24"/>
  <c r="Q122" i="24"/>
  <c r="P9" i="42" s="1"/>
  <c r="Q6" i="24"/>
  <c r="P6" i="42" s="1"/>
  <c r="Q5" i="24"/>
  <c r="I121" i="24"/>
  <c r="I6" i="24"/>
  <c r="H6" i="42" s="1"/>
  <c r="I5" i="24"/>
  <c r="L121" i="24"/>
  <c r="L68" i="24"/>
  <c r="L6" i="24"/>
  <c r="K6" i="42" s="1"/>
  <c r="L5" i="24"/>
  <c r="H68" i="24"/>
  <c r="H6" i="24"/>
  <c r="G6" i="42" s="1"/>
  <c r="H5" i="24"/>
  <c r="J68" i="24"/>
  <c r="J6" i="24"/>
  <c r="I6" i="42" s="1"/>
  <c r="J5" i="24"/>
  <c r="BH216" i="24"/>
  <c r="BH198" i="24"/>
  <c r="BH194" i="24"/>
  <c r="BH191" i="24"/>
  <c r="BH184" i="24"/>
  <c r="BH173" i="24"/>
  <c r="BH153" i="24"/>
  <c r="BH143" i="24"/>
  <c r="BC68" i="24"/>
  <c r="BH69" i="24"/>
  <c r="BH62" i="24"/>
  <c r="BH54" i="24"/>
  <c r="BH48" i="24"/>
  <c r="BH41" i="24"/>
  <c r="BH31" i="24"/>
  <c r="BC6" i="24"/>
  <c r="BB6" i="42" s="1"/>
  <c r="BH25" i="24"/>
  <c r="BH15" i="24"/>
  <c r="BC5" i="24"/>
  <c r="BH7" i="24"/>
  <c r="BF210" i="24"/>
  <c r="M68" i="24"/>
  <c r="M5" i="24"/>
  <c r="BF204" i="24"/>
  <c r="BF198" i="24"/>
  <c r="G5" i="24"/>
  <c r="BF48" i="24"/>
  <c r="BE204" i="24"/>
  <c r="F202" i="31" s="1"/>
  <c r="E6" i="83" s="1"/>
  <c r="N5" i="24"/>
  <c r="BF216" i="24"/>
  <c r="BE15" i="42" s="1"/>
  <c r="BE210" i="24"/>
  <c r="F208" i="31" s="1"/>
  <c r="E8" i="83" s="1"/>
  <c r="BF173" i="24"/>
  <c r="F121" i="24"/>
  <c r="F122" i="24"/>
  <c r="E9" i="42" s="1"/>
  <c r="F68" i="24"/>
  <c r="BF62" i="24"/>
  <c r="BF25" i="24"/>
  <c r="BF15" i="24"/>
  <c r="F5" i="24"/>
  <c r="D68" i="27"/>
  <c r="C37" i="26"/>
  <c r="F215" i="31"/>
  <c r="BE222" i="24"/>
  <c r="BG204" i="24"/>
  <c r="BG165" i="24"/>
  <c r="BF13" i="42" s="1"/>
  <c r="BG133" i="24"/>
  <c r="BF11" i="42" s="1"/>
  <c r="BG123" i="24"/>
  <c r="BF10" i="42" s="1"/>
  <c r="AA5" i="24"/>
  <c r="AA68" i="24"/>
  <c r="C13" i="26"/>
  <c r="D22" i="27"/>
  <c r="BE213" i="24"/>
  <c r="F211" i="31" s="1"/>
  <c r="E9" i="83" s="1"/>
  <c r="BE207" i="24"/>
  <c r="F205" i="31" s="1"/>
  <c r="E7" i="83" s="1"/>
  <c r="BE201" i="24"/>
  <c r="F199" i="31" s="1"/>
  <c r="E5" i="83" s="1"/>
  <c r="BE198" i="24"/>
  <c r="F196" i="31" s="1"/>
  <c r="E4" i="83" s="1"/>
  <c r="BE194" i="24"/>
  <c r="F192" i="31" s="1"/>
  <c r="E3" i="83" s="1"/>
  <c r="BE191" i="24"/>
  <c r="BE184" i="24"/>
  <c r="F182" i="31" s="1"/>
  <c r="BH165" i="24"/>
  <c r="BG13" i="42" s="1"/>
  <c r="BE153" i="24"/>
  <c r="F151" i="31" s="1"/>
  <c r="BE143" i="24"/>
  <c r="F141" i="31" s="1"/>
  <c r="BH133" i="24"/>
  <c r="BG11" i="42" s="1"/>
  <c r="BH123" i="24"/>
  <c r="BG10" i="42" s="1"/>
  <c r="BE108" i="24"/>
  <c r="F106" i="31" s="1"/>
  <c r="BE97" i="24"/>
  <c r="F95" i="31" s="1"/>
  <c r="BE86" i="24"/>
  <c r="F84" i="31" s="1"/>
  <c r="BE69" i="24"/>
  <c r="F69" i="31" s="1"/>
  <c r="BE54" i="24"/>
  <c r="F54" i="31" s="1"/>
  <c r="BE41" i="24"/>
  <c r="F41" i="31" s="1"/>
  <c r="BE31" i="24"/>
  <c r="F31" i="31" s="1"/>
  <c r="BE7" i="24"/>
  <c r="F7" i="31" s="1"/>
  <c r="BE216" i="24"/>
  <c r="BE230" i="24" s="1"/>
  <c r="BF213" i="24"/>
  <c r="BF207" i="24"/>
  <c r="BF201" i="24"/>
  <c r="BF194" i="24"/>
  <c r="BF191" i="24"/>
  <c r="BF184" i="24"/>
  <c r="BE165" i="24"/>
  <c r="BF165" i="24"/>
  <c r="BE13" i="42" s="1"/>
  <c r="BF153" i="24"/>
  <c r="BF143" i="24"/>
  <c r="BF133" i="24"/>
  <c r="BE11" i="42" s="1"/>
  <c r="BE133" i="24"/>
  <c r="BE123" i="24"/>
  <c r="BF123" i="24"/>
  <c r="BE10" i="42" s="1"/>
  <c r="BF108" i="24"/>
  <c r="BF97" i="24"/>
  <c r="BF86" i="24"/>
  <c r="BE80" i="24"/>
  <c r="F80" i="31" s="1"/>
  <c r="BF69" i="24"/>
  <c r="BE62" i="24"/>
  <c r="F62" i="31" s="1"/>
  <c r="BF54" i="24"/>
  <c r="BE48" i="24"/>
  <c r="F48" i="31" s="1"/>
  <c r="BF41" i="24"/>
  <c r="BF31" i="24"/>
  <c r="BE25" i="24"/>
  <c r="F25" i="31" s="1"/>
  <c r="BE15" i="24"/>
  <c r="F15" i="31" s="1"/>
  <c r="BF7" i="24"/>
  <c r="BE173" i="24"/>
  <c r="F171" i="31" s="1"/>
  <c r="F6" i="24"/>
  <c r="E6" i="42" s="1"/>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C47" i="22"/>
  <c r="C46" i="22"/>
  <c r="C45"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BD7" i="22"/>
  <c r="BD9" i="22"/>
  <c r="BD10" i="22"/>
  <c r="BD11" i="22"/>
  <c r="BD13" i="22"/>
  <c r="BD14" i="22"/>
  <c r="BD15" i="22"/>
  <c r="BD17" i="22"/>
  <c r="BD18" i="22"/>
  <c r="BD19" i="22"/>
  <c r="BD21" i="22"/>
  <c r="BD22" i="22"/>
  <c r="BD23" i="22"/>
  <c r="BD25" i="22"/>
  <c r="BD26" i="22"/>
  <c r="BD27" i="22"/>
  <c r="BD29" i="22"/>
  <c r="BD30" i="22"/>
  <c r="BD31" i="22"/>
  <c r="BD33" i="22"/>
  <c r="BD34" i="22"/>
  <c r="BD35" i="22"/>
  <c r="BD37" i="22"/>
  <c r="BD38" i="22"/>
  <c r="BD39" i="22"/>
  <c r="BD41" i="22"/>
  <c r="BD42" i="22"/>
  <c r="BD43" i="22"/>
  <c r="BC6" i="22"/>
  <c r="BC7" i="22"/>
  <c r="BC9" i="22"/>
  <c r="BC10" i="22"/>
  <c r="BC11" i="22"/>
  <c r="BC13" i="22"/>
  <c r="BC14" i="22"/>
  <c r="BC15" i="22"/>
  <c r="BC17" i="22"/>
  <c r="BC18" i="22"/>
  <c r="BC19" i="22"/>
  <c r="BC21" i="22"/>
  <c r="BC22" i="22"/>
  <c r="BC23" i="22"/>
  <c r="BC25" i="22"/>
  <c r="BC26" i="22"/>
  <c r="BC27" i="22"/>
  <c r="BC29" i="22"/>
  <c r="BC30" i="22"/>
  <c r="BC31" i="22"/>
  <c r="BC33" i="22"/>
  <c r="BC34" i="22"/>
  <c r="BC35" i="22"/>
  <c r="BC37" i="22"/>
  <c r="BC38" i="22"/>
  <c r="BC39" i="22"/>
  <c r="BC41" i="22"/>
  <c r="BC42" i="22"/>
  <c r="BC43" i="22"/>
  <c r="BB6" i="22"/>
  <c r="C8" i="30" s="1"/>
  <c r="B2" i="81" s="1"/>
  <c r="BB7" i="22"/>
  <c r="C9" i="30" s="1"/>
  <c r="B14" i="81" s="1"/>
  <c r="BB9" i="22"/>
  <c r="C11" i="30" s="1"/>
  <c r="BB10" i="22"/>
  <c r="C12" i="30" s="1"/>
  <c r="B3" i="81" s="1"/>
  <c r="BB11" i="22"/>
  <c r="C13" i="30" s="1"/>
  <c r="B15" i="81" s="1"/>
  <c r="BB13" i="22"/>
  <c r="C15" i="30" s="1"/>
  <c r="BB14" i="22"/>
  <c r="C16" i="30" s="1"/>
  <c r="B4" i="81" s="1"/>
  <c r="BB15" i="22"/>
  <c r="C17" i="30" s="1"/>
  <c r="B16" i="81" s="1"/>
  <c r="BB17" i="22"/>
  <c r="C19" i="30" s="1"/>
  <c r="BB18" i="22"/>
  <c r="C20" i="30" s="1"/>
  <c r="B5" i="81" s="1"/>
  <c r="BB19" i="22"/>
  <c r="C21" i="30" s="1"/>
  <c r="B17" i="81" s="1"/>
  <c r="BB21" i="22"/>
  <c r="C23" i="30" s="1"/>
  <c r="BB22" i="22"/>
  <c r="C24" i="30" s="1"/>
  <c r="B6" i="81" s="1"/>
  <c r="BB23" i="22"/>
  <c r="C25" i="30" s="1"/>
  <c r="B18" i="81" s="1"/>
  <c r="BB25" i="22"/>
  <c r="C27" i="30" s="1"/>
  <c r="BB26" i="22"/>
  <c r="C28" i="30" s="1"/>
  <c r="B7" i="81" s="1"/>
  <c r="BB27" i="22"/>
  <c r="C29" i="30" s="1"/>
  <c r="B19" i="81" s="1"/>
  <c r="BB29" i="22"/>
  <c r="C31" i="30" s="1"/>
  <c r="BB30" i="22"/>
  <c r="C32" i="30" s="1"/>
  <c r="B8" i="81" s="1"/>
  <c r="BB31" i="22"/>
  <c r="C33" i="30" s="1"/>
  <c r="B20" i="81" s="1"/>
  <c r="BB33" i="22"/>
  <c r="C35" i="30" s="1"/>
  <c r="BB34" i="22"/>
  <c r="C36" i="30" s="1"/>
  <c r="B9" i="81" s="1"/>
  <c r="BB35" i="22"/>
  <c r="C37" i="30" s="1"/>
  <c r="B21" i="81" s="1"/>
  <c r="BB37" i="22"/>
  <c r="C39" i="30" s="1"/>
  <c r="BB38" i="22"/>
  <c r="C40" i="30" s="1"/>
  <c r="B10" i="81" s="1"/>
  <c r="BB39" i="22"/>
  <c r="C41" i="30" s="1"/>
  <c r="B22" i="81" s="1"/>
  <c r="BB41" i="22"/>
  <c r="C43" i="30" s="1"/>
  <c r="BB42" i="22"/>
  <c r="C44" i="30" s="1"/>
  <c r="B11" i="81" s="1"/>
  <c r="BB43" i="22"/>
  <c r="C45" i="30" s="1"/>
  <c r="B23" i="81" s="1"/>
  <c r="BE5" i="22"/>
  <c r="BD5" i="22"/>
  <c r="BC5" i="22"/>
  <c r="BB5" i="22"/>
  <c r="C7" i="30" s="1"/>
  <c r="BG152" i="29"/>
  <c r="BF152" i="29"/>
  <c r="BE152" i="29"/>
  <c r="BD152"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BG15" i="42" l="1"/>
  <c r="BH230" i="24"/>
  <c r="BH232" i="24" s="1"/>
  <c r="BE232" i="24"/>
  <c r="W226" i="24"/>
  <c r="AU10" i="32"/>
  <c r="AX8" i="32"/>
  <c r="X10" i="32"/>
  <c r="X8" i="32"/>
  <c r="BA226" i="24"/>
  <c r="BE24" i="36"/>
  <c r="BD24" i="36"/>
  <c r="F131" i="31"/>
  <c r="BD11" i="42"/>
  <c r="D25" i="36" s="1"/>
  <c r="F214" i="31"/>
  <c r="E10" i="83" s="1"/>
  <c r="BD15" i="42"/>
  <c r="D6" i="39" s="1"/>
  <c r="D8" i="39" s="1"/>
  <c r="E5" i="35"/>
  <c r="E5" i="38"/>
  <c r="BB6" i="38"/>
  <c r="BB6" i="35"/>
  <c r="G6" i="38"/>
  <c r="G6" i="35"/>
  <c r="P6" i="38"/>
  <c r="P6" i="35"/>
  <c r="AJ6" i="38"/>
  <c r="AJ6" i="35"/>
  <c r="AC5" i="38"/>
  <c r="AC5" i="35"/>
  <c r="S6" i="38"/>
  <c r="S6" i="35"/>
  <c r="S5" i="38"/>
  <c r="S8" i="38" s="1"/>
  <c r="S5" i="35"/>
  <c r="S8" i="35" s="1"/>
  <c r="AT5" i="38"/>
  <c r="AT5" i="35"/>
  <c r="AM6" i="38"/>
  <c r="AM6" i="35"/>
  <c r="BC6" i="38"/>
  <c r="BC6" i="35"/>
  <c r="BC5" i="38"/>
  <c r="BC8" i="38" s="1"/>
  <c r="BC5" i="35"/>
  <c r="BC8" i="35" s="1"/>
  <c r="J5" i="38"/>
  <c r="J5" i="35"/>
  <c r="AF6" i="38"/>
  <c r="AF6" i="35"/>
  <c r="V6" i="38"/>
  <c r="V6" i="35"/>
  <c r="V5" i="38"/>
  <c r="V8" i="38" s="1"/>
  <c r="V5" i="35"/>
  <c r="V8" i="35" s="1"/>
  <c r="AA5" i="38"/>
  <c r="AA5" i="35"/>
  <c r="AI6" i="38"/>
  <c r="AI6" i="35"/>
  <c r="AN6" i="38"/>
  <c r="AN6" i="35"/>
  <c r="U6" i="38"/>
  <c r="U6" i="35"/>
  <c r="U5" i="38"/>
  <c r="U8" i="38" s="1"/>
  <c r="U5" i="35"/>
  <c r="U8" i="35" s="1"/>
  <c r="R6" i="38"/>
  <c r="R6" i="35"/>
  <c r="T6" i="38"/>
  <c r="T6" i="35"/>
  <c r="T5" i="38"/>
  <c r="T8" i="38" s="1"/>
  <c r="T5" i="35"/>
  <c r="T8" i="35" s="1"/>
  <c r="AV5" i="38"/>
  <c r="AV5" i="35"/>
  <c r="AO6" i="38"/>
  <c r="AO6" i="35"/>
  <c r="AP5" i="38"/>
  <c r="AP5" i="35"/>
  <c r="AQ6" i="38"/>
  <c r="AQ6" i="35"/>
  <c r="AB5" i="38"/>
  <c r="AB5" i="35"/>
  <c r="AD6" i="38"/>
  <c r="AD6" i="35"/>
  <c r="AH6" i="38"/>
  <c r="AH6" i="35"/>
  <c r="AR6" i="38"/>
  <c r="AR6" i="35"/>
  <c r="Y5" i="38"/>
  <c r="Y5" i="35"/>
  <c r="AJ5" i="38"/>
  <c r="AJ5" i="35"/>
  <c r="N5" i="38"/>
  <c r="N5" i="35"/>
  <c r="AE5" i="38"/>
  <c r="AE5" i="35"/>
  <c r="AI5" i="38"/>
  <c r="AI8" i="38" s="1"/>
  <c r="AI5" i="35"/>
  <c r="AI8" i="35" s="1"/>
  <c r="AQ5" i="38"/>
  <c r="AQ8" i="38" s="1"/>
  <c r="AQ5" i="35"/>
  <c r="AK6" i="38"/>
  <c r="AK6" i="35"/>
  <c r="AL6" i="38"/>
  <c r="AL6" i="35"/>
  <c r="AS6" i="38"/>
  <c r="AS6" i="35"/>
  <c r="AW5" i="38"/>
  <c r="AW5" i="35"/>
  <c r="BA5" i="38"/>
  <c r="BA5" i="35"/>
  <c r="AS5" i="38"/>
  <c r="AS8" i="38" s="1"/>
  <c r="AS5" i="35"/>
  <c r="AS8" i="35" s="1"/>
  <c r="AU6" i="38"/>
  <c r="AU6" i="35"/>
  <c r="AW6" i="38"/>
  <c r="AW6" i="35"/>
  <c r="BA6" i="38"/>
  <c r="BA6" i="35"/>
  <c r="I5" i="38"/>
  <c r="I5" i="35"/>
  <c r="AX10" i="32"/>
  <c r="AZ9" i="42"/>
  <c r="G5" i="38"/>
  <c r="G8" i="38" s="1"/>
  <c r="G5" i="35"/>
  <c r="G8" i="35" s="1"/>
  <c r="L5" i="38"/>
  <c r="L5" i="35"/>
  <c r="M6" i="38"/>
  <c r="M6" i="35"/>
  <c r="AX6" i="38"/>
  <c r="AX6" i="35"/>
  <c r="F6" i="38"/>
  <c r="F6" i="35"/>
  <c r="BF29" i="36"/>
  <c r="AJ13" i="40"/>
  <c r="BF13" i="40" s="1"/>
  <c r="E6" i="35"/>
  <c r="E6" i="38"/>
  <c r="F121" i="31"/>
  <c r="BD10" i="42"/>
  <c r="D24" i="36" s="1"/>
  <c r="F163" i="31"/>
  <c r="BD13" i="42"/>
  <c r="D27" i="36" s="1"/>
  <c r="I6" i="38"/>
  <c r="I6" i="35"/>
  <c r="K6" i="38"/>
  <c r="K6" i="35"/>
  <c r="H6" i="38"/>
  <c r="H6" i="35"/>
  <c r="P5" i="38"/>
  <c r="P8" i="38" s="1"/>
  <c r="P5" i="35"/>
  <c r="P8" i="35" s="1"/>
  <c r="H5" i="38"/>
  <c r="H8" i="38" s="1"/>
  <c r="H5" i="35"/>
  <c r="H8" i="35" s="1"/>
  <c r="Q6" i="38"/>
  <c r="Q6" i="35"/>
  <c r="AC6" i="38"/>
  <c r="AC6" i="35"/>
  <c r="W6" i="38"/>
  <c r="W6" i="35"/>
  <c r="W5" i="38"/>
  <c r="W8" i="38" s="1"/>
  <c r="W5" i="35"/>
  <c r="W8" i="35" s="1"/>
  <c r="AT6" i="38"/>
  <c r="AT6" i="35"/>
  <c r="AM5" i="38"/>
  <c r="AM8" i="38" s="1"/>
  <c r="AM5" i="35"/>
  <c r="AM8" i="35" s="1"/>
  <c r="J6" i="38"/>
  <c r="J6" i="35"/>
  <c r="AF5" i="38"/>
  <c r="AF8" i="38" s="1"/>
  <c r="AF5" i="35"/>
  <c r="AF8" i="35" s="1"/>
  <c r="AA6" i="38"/>
  <c r="AA6" i="35"/>
  <c r="AN5" i="38"/>
  <c r="AN8" i="38" s="1"/>
  <c r="AN5" i="35"/>
  <c r="AN8" i="35" s="1"/>
  <c r="N6" i="38"/>
  <c r="N6" i="35"/>
  <c r="AV6" i="38"/>
  <c r="AV6" i="35"/>
  <c r="AP6" i="38"/>
  <c r="AP6" i="35"/>
  <c r="X6" i="38"/>
  <c r="X6" i="35"/>
  <c r="X5" i="38"/>
  <c r="X5" i="35"/>
  <c r="Y6" i="38"/>
  <c r="Y6" i="35"/>
  <c r="AB6" i="38"/>
  <c r="AB6" i="35"/>
  <c r="AD5" i="38"/>
  <c r="AD8" i="38" s="1"/>
  <c r="AD5" i="35"/>
  <c r="AD8" i="35" s="1"/>
  <c r="AE6" i="38"/>
  <c r="AE6" i="35"/>
  <c r="AG6" i="38"/>
  <c r="AG6" i="35"/>
  <c r="AR5" i="38"/>
  <c r="AR8" i="38" s="1"/>
  <c r="AR5" i="35"/>
  <c r="AR8" i="35" s="1"/>
  <c r="Q5" i="38"/>
  <c r="Q8" i="38" s="1"/>
  <c r="Q5" i="35"/>
  <c r="Q8" i="35" s="1"/>
  <c r="AH5" i="38"/>
  <c r="AH8" i="38" s="1"/>
  <c r="AH5" i="35"/>
  <c r="AH8" i="35" s="1"/>
  <c r="L6" i="38"/>
  <c r="L6" i="35"/>
  <c r="R5" i="38"/>
  <c r="R8" i="38" s="1"/>
  <c r="R5" i="35"/>
  <c r="R8" i="35" s="1"/>
  <c r="AG5" i="38"/>
  <c r="AG8" i="38" s="1"/>
  <c r="AG5" i="35"/>
  <c r="AG8" i="35" s="1"/>
  <c r="AO5" i="38"/>
  <c r="AO8" i="38" s="1"/>
  <c r="AO5" i="35"/>
  <c r="AO8" i="35" s="1"/>
  <c r="AU5" i="38"/>
  <c r="AU8" i="38" s="1"/>
  <c r="AU5" i="35"/>
  <c r="AU8" i="35" s="1"/>
  <c r="AK5" i="38"/>
  <c r="AK8" i="38" s="1"/>
  <c r="AK5" i="35"/>
  <c r="AK8" i="35" s="1"/>
  <c r="AL5" i="38"/>
  <c r="AL8" i="38" s="1"/>
  <c r="AL5" i="35"/>
  <c r="AL8" i="35" s="1"/>
  <c r="AY5" i="38"/>
  <c r="AY5" i="35"/>
  <c r="BB5" i="38"/>
  <c r="BB8" i="38" s="1"/>
  <c r="BB5" i="35"/>
  <c r="BB8" i="35" s="1"/>
  <c r="AX5" i="38"/>
  <c r="AX8" i="38" s="1"/>
  <c r="AX5" i="35"/>
  <c r="AX8" i="35" s="1"/>
  <c r="AY6" i="38"/>
  <c r="AY6" i="35"/>
  <c r="F193" i="51"/>
  <c r="BC14" i="42"/>
  <c r="F5" i="38"/>
  <c r="F8" i="38" s="1"/>
  <c r="F5" i="35"/>
  <c r="F8" i="35" s="1"/>
  <c r="O5" i="38"/>
  <c r="O5" i="35"/>
  <c r="K10" i="32"/>
  <c r="M9" i="42"/>
  <c r="O6" i="38"/>
  <c r="O6" i="35"/>
  <c r="K5" i="38"/>
  <c r="K5" i="35"/>
  <c r="K8" i="35" s="1"/>
  <c r="Z6" i="38"/>
  <c r="Z6" i="35"/>
  <c r="AZ6" i="38"/>
  <c r="AZ6" i="35"/>
  <c r="Z5" i="38"/>
  <c r="Z8" i="38" s="1"/>
  <c r="Z5" i="35"/>
  <c r="Z8" i="35" s="1"/>
  <c r="BE29" i="36"/>
  <c r="X13" i="40"/>
  <c r="BE13" i="40" s="1"/>
  <c r="E13" i="40"/>
  <c r="BD13" i="40" s="1"/>
  <c r="BD29" i="36"/>
  <c r="BE8" i="39"/>
  <c r="BE12" i="39" s="1"/>
  <c r="X12" i="39"/>
  <c r="X41" i="40" s="1"/>
  <c r="BE41" i="40" s="1"/>
  <c r="BF8" i="39"/>
  <c r="BF12" i="39" s="1"/>
  <c r="AJ12" i="39"/>
  <c r="AJ41" i="40" s="1"/>
  <c r="BF41" i="40" s="1"/>
  <c r="BD8" i="39"/>
  <c r="BD12" i="39" s="1"/>
  <c r="E12" i="39"/>
  <c r="E41" i="40" s="1"/>
  <c r="BD41" i="40" s="1"/>
  <c r="X226" i="24"/>
  <c r="Z226" i="24"/>
  <c r="Y226" i="24"/>
  <c r="AG226" i="24"/>
  <c r="R226" i="24"/>
  <c r="I226" i="24"/>
  <c r="M226" i="24"/>
  <c r="J10" i="32"/>
  <c r="K8" i="32"/>
  <c r="G226" i="24"/>
  <c r="J226" i="24"/>
  <c r="D8" i="32"/>
  <c r="T226" i="24"/>
  <c r="AY8" i="32"/>
  <c r="AK21" i="32"/>
  <c r="B37" i="82" s="1"/>
  <c r="BC226" i="24"/>
  <c r="BB226" i="24"/>
  <c r="X21" i="32"/>
  <c r="AX24" i="32"/>
  <c r="D50" i="82" s="1"/>
  <c r="AV8" i="32"/>
  <c r="M21" i="32"/>
  <c r="B13" i="82" s="1"/>
  <c r="AY226" i="24"/>
  <c r="P226" i="24"/>
  <c r="AA226" i="24"/>
  <c r="N226" i="24"/>
  <c r="AT226" i="24"/>
  <c r="G10" i="32"/>
  <c r="AQ10" i="32"/>
  <c r="I10" i="32"/>
  <c r="AY10" i="32"/>
  <c r="AS8" i="32"/>
  <c r="M8" i="32"/>
  <c r="AZ226" i="24"/>
  <c r="BC14" i="32"/>
  <c r="BD14" i="32"/>
  <c r="AX226" i="24"/>
  <c r="AU8" i="32"/>
  <c r="BD226" i="24"/>
  <c r="H226" i="24"/>
  <c r="M10" i="32"/>
  <c r="M24" i="32" s="1"/>
  <c r="AV10" i="32"/>
  <c r="C21" i="32"/>
  <c r="BC16" i="32"/>
  <c r="BD16" i="32"/>
  <c r="AX21" i="32"/>
  <c r="BD12" i="32"/>
  <c r="E10" i="32"/>
  <c r="BC12" i="32"/>
  <c r="D10" i="32"/>
  <c r="AW10" i="32"/>
  <c r="AZ10" i="32"/>
  <c r="AW8" i="32"/>
  <c r="C49" i="50"/>
  <c r="C50" i="50"/>
  <c r="BE14" i="32"/>
  <c r="BE16" i="32"/>
  <c r="AQ8" i="32"/>
  <c r="F124" i="51"/>
  <c r="BB16" i="32"/>
  <c r="AD21" i="77"/>
  <c r="C21" i="78" s="1"/>
  <c r="AZ8" i="32"/>
  <c r="AZ24" i="32" s="1"/>
  <c r="G8" i="32"/>
  <c r="G23" i="65"/>
  <c r="I8" i="32"/>
  <c r="I23" i="65"/>
  <c r="F8" i="32"/>
  <c r="N8" i="32"/>
  <c r="AH8" i="32"/>
  <c r="AA10" i="32"/>
  <c r="Q8" i="32"/>
  <c r="Q10" i="32"/>
  <c r="AR10" i="32"/>
  <c r="AK8" i="32"/>
  <c r="F8" i="51"/>
  <c r="F71" i="51"/>
  <c r="H8" i="32"/>
  <c r="AD10" i="32"/>
  <c r="Y8" i="32"/>
  <c r="AL10" i="32"/>
  <c r="L8" i="32"/>
  <c r="AT8" i="32"/>
  <c r="AN8" i="32"/>
  <c r="V8" i="32"/>
  <c r="V10" i="32"/>
  <c r="W8" i="32"/>
  <c r="Z10" i="32"/>
  <c r="AB8" i="32"/>
  <c r="AF8" i="32"/>
  <c r="AP8" i="32"/>
  <c r="W10" i="32"/>
  <c r="AH10" i="32"/>
  <c r="J8" i="32"/>
  <c r="P10" i="32"/>
  <c r="AE10" i="32"/>
  <c r="AM10" i="32"/>
  <c r="AS10" i="32"/>
  <c r="AI8" i="32"/>
  <c r="D21" i="65"/>
  <c r="F21" i="65"/>
  <c r="H21" i="65"/>
  <c r="J21" i="65"/>
  <c r="L21" i="65"/>
  <c r="N21" i="65"/>
  <c r="J23" i="65"/>
  <c r="C21" i="65"/>
  <c r="E21" i="65"/>
  <c r="G21" i="65"/>
  <c r="I21" i="65"/>
  <c r="K21" i="65"/>
  <c r="M21" i="65"/>
  <c r="O21" i="65"/>
  <c r="K23" i="65"/>
  <c r="M23" i="65"/>
  <c r="C8" i="32"/>
  <c r="C10" i="32"/>
  <c r="E8" i="32"/>
  <c r="E23" i="65"/>
  <c r="N10" i="32"/>
  <c r="F10" i="32"/>
  <c r="O8" i="32"/>
  <c r="AA8" i="32"/>
  <c r="U8" i="32"/>
  <c r="U10" i="32"/>
  <c r="AR8" i="32"/>
  <c r="BB8" i="32" s="1"/>
  <c r="AK10" i="32"/>
  <c r="H10" i="32"/>
  <c r="AD8" i="32"/>
  <c r="T8" i="32"/>
  <c r="T10" i="32"/>
  <c r="Y10" i="32"/>
  <c r="AG8" i="32"/>
  <c r="AL8" i="32"/>
  <c r="S8" i="32"/>
  <c r="S10" i="32"/>
  <c r="P8" i="32"/>
  <c r="R8" i="32"/>
  <c r="R10" i="32"/>
  <c r="AT10" i="32"/>
  <c r="AM8" i="32"/>
  <c r="AN10" i="32"/>
  <c r="AO8" i="32"/>
  <c r="Z8" i="32"/>
  <c r="AB10" i="32"/>
  <c r="AC8" i="32"/>
  <c r="AE8" i="32"/>
  <c r="AP10" i="32"/>
  <c r="O10" i="32"/>
  <c r="O23" i="65"/>
  <c r="AF10" i="32"/>
  <c r="L10" i="32"/>
  <c r="L23" i="65"/>
  <c r="AC10" i="32"/>
  <c r="AG10" i="32"/>
  <c r="AO10" i="32"/>
  <c r="AI10" i="32"/>
  <c r="C16" i="52"/>
  <c r="C14" i="52"/>
  <c r="D21" i="32"/>
  <c r="F21" i="32"/>
  <c r="H21" i="32"/>
  <c r="J21" i="32"/>
  <c r="L21" i="32"/>
  <c r="N21" i="32"/>
  <c r="P21" i="32"/>
  <c r="R21" i="32"/>
  <c r="T21" i="32"/>
  <c r="V21" i="32"/>
  <c r="Y21" i="32"/>
  <c r="AA21" i="32"/>
  <c r="AC21" i="32"/>
  <c r="AE21" i="32"/>
  <c r="AG21" i="32"/>
  <c r="AI21" i="32"/>
  <c r="AM21" i="32"/>
  <c r="AO21" i="32"/>
  <c r="AQ21" i="32"/>
  <c r="AS21" i="32"/>
  <c r="AU21" i="32"/>
  <c r="AW21" i="32"/>
  <c r="AY21" i="32"/>
  <c r="AZ21" i="32"/>
  <c r="E21" i="32"/>
  <c r="G21" i="32"/>
  <c r="I21" i="32"/>
  <c r="K21" i="32"/>
  <c r="O21" i="32"/>
  <c r="Q21" i="32"/>
  <c r="S21" i="32"/>
  <c r="U21" i="32"/>
  <c r="W21" i="32"/>
  <c r="Z21" i="32"/>
  <c r="AB21" i="32"/>
  <c r="AD21" i="32"/>
  <c r="AF21" i="32"/>
  <c r="AH21" i="32"/>
  <c r="AL21" i="32"/>
  <c r="AN21" i="32"/>
  <c r="AP21" i="32"/>
  <c r="AR21" i="32"/>
  <c r="AT21" i="32"/>
  <c r="AV21" i="32"/>
  <c r="BA21" i="32"/>
  <c r="P16" i="65"/>
  <c r="C16" i="66" s="1"/>
  <c r="BB14" i="32"/>
  <c r="AJ21" i="32"/>
  <c r="P14" i="65"/>
  <c r="C14" i="66" s="1"/>
  <c r="BB12" i="32"/>
  <c r="BE12" i="32"/>
  <c r="AJ24" i="32"/>
  <c r="AM226" i="24"/>
  <c r="P12" i="65"/>
  <c r="C12" i="66" s="1"/>
  <c r="AL226" i="24"/>
  <c r="BA8" i="32"/>
  <c r="F9" i="51"/>
  <c r="BA10" i="32"/>
  <c r="F125" i="51"/>
  <c r="AS226" i="24"/>
  <c r="AH226" i="24"/>
  <c r="AI226" i="24"/>
  <c r="AF226" i="24"/>
  <c r="AE226" i="24"/>
  <c r="AC226" i="24"/>
  <c r="AR226" i="24"/>
  <c r="AQ226" i="24"/>
  <c r="AP226" i="24"/>
  <c r="AW226" i="24"/>
  <c r="BF190" i="24"/>
  <c r="BE14" i="42" s="1"/>
  <c r="BH190" i="24"/>
  <c r="BG14" i="42" s="1"/>
  <c r="AO226" i="24"/>
  <c r="BG190" i="24"/>
  <c r="BF14" i="42" s="1"/>
  <c r="F189" i="31"/>
  <c r="E2" i="83" s="1"/>
  <c r="BE190" i="24"/>
  <c r="AJ226" i="24"/>
  <c r="BG68" i="24"/>
  <c r="AB226" i="24"/>
  <c r="BG121" i="24"/>
  <c r="K226" i="24"/>
  <c r="BH68" i="24"/>
  <c r="AN226" i="24"/>
  <c r="BH121" i="24"/>
  <c r="AU226" i="24"/>
  <c r="BH122" i="24"/>
  <c r="BG9" i="42" s="1"/>
  <c r="BG122" i="24"/>
  <c r="BF9" i="42" s="1"/>
  <c r="AD226" i="24"/>
  <c r="BG6" i="24"/>
  <c r="BF6" i="42" s="1"/>
  <c r="Q226" i="24"/>
  <c r="BF121" i="24"/>
  <c r="L226" i="24"/>
  <c r="BF68" i="24"/>
  <c r="BH6" i="24"/>
  <c r="BG6" i="42" s="1"/>
  <c r="BH5" i="24"/>
  <c r="BE122" i="24"/>
  <c r="BF122" i="24"/>
  <c r="BE9" i="42" s="1"/>
  <c r="BE121" i="24"/>
  <c r="F119" i="31" s="1"/>
  <c r="F226" i="24"/>
  <c r="BE6" i="24"/>
  <c r="BF5" i="24"/>
  <c r="BF6" i="24"/>
  <c r="BE6" i="42" s="1"/>
  <c r="BE5" i="24"/>
  <c r="F5" i="31" s="1"/>
  <c r="BG5" i="24"/>
  <c r="BE68" i="24"/>
  <c r="F68" i="31" s="1"/>
  <c r="BD47" i="22"/>
  <c r="BD46" i="22"/>
  <c r="BE47" i="22"/>
  <c r="BE46" i="22"/>
  <c r="BC47" i="22"/>
  <c r="BC46" i="22"/>
  <c r="BB47" i="22"/>
  <c r="C49" i="30" s="1"/>
  <c r="BB46" i="22"/>
  <c r="C48" i="30" s="1"/>
  <c r="BD45" i="22"/>
  <c r="BE45" i="22"/>
  <c r="BC45" i="22"/>
  <c r="BB45" i="22"/>
  <c r="C47" i="30" s="1"/>
  <c r="BF3" i="29"/>
  <c r="BD3" i="29"/>
  <c r="BG3" i="29"/>
  <c r="BE3" i="29"/>
  <c r="BA3" i="22"/>
  <c r="AZ3" i="22"/>
  <c r="AY3" i="22"/>
  <c r="AX3" i="22"/>
  <c r="AW3" i="22"/>
  <c r="AV3" i="22"/>
  <c r="AU3" i="22"/>
  <c r="AT3" i="22"/>
  <c r="AR3" i="22"/>
  <c r="AQ3" i="22"/>
  <c r="AP3" i="22"/>
  <c r="AN3" i="22"/>
  <c r="AM3" i="22"/>
  <c r="AL3" i="22"/>
  <c r="AK3" i="22"/>
  <c r="AJ3" i="22"/>
  <c r="AI3" i="22"/>
  <c r="AH3" i="22"/>
  <c r="AG3" i="22"/>
  <c r="AF3" i="22"/>
  <c r="AE3" i="22"/>
  <c r="AC3" i="22"/>
  <c r="AB3" i="22"/>
  <c r="AA3" i="22"/>
  <c r="Z3" i="22"/>
  <c r="Y3" i="22"/>
  <c r="X3" i="22"/>
  <c r="W3" i="22"/>
  <c r="V3" i="22"/>
  <c r="U3" i="22"/>
  <c r="T3" i="22"/>
  <c r="S3" i="22"/>
  <c r="R3" i="22"/>
  <c r="Q3" i="22"/>
  <c r="P3" i="22"/>
  <c r="O3" i="22"/>
  <c r="N3" i="22"/>
  <c r="M3" i="22"/>
  <c r="L3" i="22"/>
  <c r="K3" i="22"/>
  <c r="J3" i="22"/>
  <c r="H3" i="22"/>
  <c r="G3" i="22"/>
  <c r="F3" i="22"/>
  <c r="E3" i="22"/>
  <c r="D3" i="22"/>
  <c r="C3" i="22"/>
  <c r="AU24" i="32" l="1"/>
  <c r="D47" i="82" s="1"/>
  <c r="N24" i="32"/>
  <c r="N25" i="32" s="1"/>
  <c r="E14" i="82" s="1"/>
  <c r="K24" i="32"/>
  <c r="K25" i="32" s="1"/>
  <c r="E11" i="82" s="1"/>
  <c r="AP24" i="32"/>
  <c r="AP25" i="32" s="1"/>
  <c r="E42" i="82" s="1"/>
  <c r="AT24" i="32"/>
  <c r="D46" i="82" s="1"/>
  <c r="K8" i="38"/>
  <c r="AQ8" i="35"/>
  <c r="AQ15" i="40" s="1"/>
  <c r="BD6" i="35"/>
  <c r="AE24" i="32"/>
  <c r="D31" i="82" s="1"/>
  <c r="X24" i="32"/>
  <c r="D24" i="82" s="1"/>
  <c r="O8" i="38"/>
  <c r="AY8" i="38"/>
  <c r="BE5" i="38"/>
  <c r="X8" i="38"/>
  <c r="BE6" i="38"/>
  <c r="L8" i="38"/>
  <c r="I8" i="38"/>
  <c r="BA8" i="38"/>
  <c r="AW8" i="38"/>
  <c r="AE8" i="38"/>
  <c r="N8" i="38"/>
  <c r="AJ8" i="38"/>
  <c r="Y8" i="38"/>
  <c r="AB8" i="38"/>
  <c r="AP8" i="38"/>
  <c r="AV8" i="38"/>
  <c r="AA8" i="38"/>
  <c r="J8" i="38"/>
  <c r="AT8" i="38"/>
  <c r="AC8" i="38"/>
  <c r="BF6" i="38"/>
  <c r="E8" i="35"/>
  <c r="F6" i="31"/>
  <c r="BD6" i="42"/>
  <c r="F120" i="31"/>
  <c r="BD9" i="42"/>
  <c r="F188" i="31"/>
  <c r="BD14" i="42"/>
  <c r="F229" i="51"/>
  <c r="Z15" i="40"/>
  <c r="Z17" i="35"/>
  <c r="Z17" i="40" s="1"/>
  <c r="K15" i="40"/>
  <c r="K17" i="35"/>
  <c r="K17" i="40" s="1"/>
  <c r="M5" i="38"/>
  <c r="M8" i="38" s="1"/>
  <c r="M5" i="35"/>
  <c r="M8" i="35" s="1"/>
  <c r="O8" i="35"/>
  <c r="F17" i="35"/>
  <c r="F17" i="40" s="1"/>
  <c r="F15" i="40"/>
  <c r="AX15" i="40"/>
  <c r="AX17" i="35"/>
  <c r="AX17" i="40" s="1"/>
  <c r="BB15" i="40"/>
  <c r="BB17" i="35"/>
  <c r="BB17" i="40" s="1"/>
  <c r="AY8" i="35"/>
  <c r="AL15" i="40"/>
  <c r="AL17" i="35"/>
  <c r="AL17" i="40" s="1"/>
  <c r="AK15" i="40"/>
  <c r="AK17" i="35"/>
  <c r="AK17" i="40" s="1"/>
  <c r="AU15" i="40"/>
  <c r="AU17" i="35"/>
  <c r="AU17" i="40" s="1"/>
  <c r="AO15" i="40"/>
  <c r="AO17" i="35"/>
  <c r="AO17" i="40" s="1"/>
  <c r="AG15" i="40"/>
  <c r="AG17" i="35"/>
  <c r="AG17" i="40" s="1"/>
  <c r="R15" i="40"/>
  <c r="R17" i="35"/>
  <c r="R17" i="40" s="1"/>
  <c r="AH15" i="40"/>
  <c r="AH17" i="35"/>
  <c r="AH17" i="40" s="1"/>
  <c r="Q15" i="40"/>
  <c r="Q17" i="35"/>
  <c r="Q17" i="40" s="1"/>
  <c r="AR15" i="40"/>
  <c r="AR17" i="35"/>
  <c r="AR17" i="40" s="1"/>
  <c r="AD15" i="40"/>
  <c r="AD17" i="35"/>
  <c r="AD17" i="40" s="1"/>
  <c r="BE5" i="35"/>
  <c r="X8" i="35"/>
  <c r="BE6" i="35"/>
  <c r="AN15" i="40"/>
  <c r="AN17" i="35"/>
  <c r="AN17" i="40" s="1"/>
  <c r="AF15" i="40"/>
  <c r="AF17" i="35"/>
  <c r="AF17" i="40" s="1"/>
  <c r="AM15" i="40"/>
  <c r="AM17" i="35"/>
  <c r="AM17" i="40" s="1"/>
  <c r="W15" i="40"/>
  <c r="W17" i="35"/>
  <c r="W17" i="40" s="1"/>
  <c r="H15" i="40"/>
  <c r="H17" i="35"/>
  <c r="H17" i="40" s="1"/>
  <c r="P15" i="40"/>
  <c r="P17" i="35"/>
  <c r="P17" i="40" s="1"/>
  <c r="D29" i="36"/>
  <c r="D13" i="40" s="1"/>
  <c r="BD6" i="38"/>
  <c r="L8" i="35"/>
  <c r="G15" i="40"/>
  <c r="G17" i="35"/>
  <c r="G17" i="40" s="1"/>
  <c r="AZ5" i="38"/>
  <c r="AZ8" i="38" s="1"/>
  <c r="AZ5" i="35"/>
  <c r="AZ8" i="35" s="1"/>
  <c r="I8" i="35"/>
  <c r="AS15" i="40"/>
  <c r="AS17" i="35"/>
  <c r="AS17" i="40" s="1"/>
  <c r="BA8" i="35"/>
  <c r="AW8" i="35"/>
  <c r="AQ17" i="35"/>
  <c r="AQ17" i="40" s="1"/>
  <c r="AI15" i="40"/>
  <c r="AI17" i="35"/>
  <c r="AI17" i="40" s="1"/>
  <c r="AE8" i="35"/>
  <c r="N8" i="35"/>
  <c r="AJ8" i="35"/>
  <c r="Y8" i="35"/>
  <c r="AB8" i="35"/>
  <c r="AP8" i="35"/>
  <c r="AV8" i="35"/>
  <c r="T15" i="40"/>
  <c r="T17" i="35"/>
  <c r="T17" i="40" s="1"/>
  <c r="U15" i="40"/>
  <c r="U17" i="35"/>
  <c r="U17" i="40" s="1"/>
  <c r="AA8" i="35"/>
  <c r="V15" i="40"/>
  <c r="V17" i="35"/>
  <c r="V17" i="40" s="1"/>
  <c r="J8" i="35"/>
  <c r="BC15" i="40"/>
  <c r="BC17" i="35"/>
  <c r="BC17" i="40" s="1"/>
  <c r="AT8" i="35"/>
  <c r="S15" i="40"/>
  <c r="S17" i="35"/>
  <c r="S17" i="40" s="1"/>
  <c r="AC8" i="35"/>
  <c r="BF6" i="35"/>
  <c r="E8" i="38"/>
  <c r="AQ24" i="32"/>
  <c r="D43" i="82" s="1"/>
  <c r="J24" i="32"/>
  <c r="J25" i="32" s="1"/>
  <c r="E10" i="82" s="1"/>
  <c r="AX25" i="32"/>
  <c r="E50" i="82" s="1"/>
  <c r="AK22" i="32"/>
  <c r="C37" i="82" s="1"/>
  <c r="D11" i="82"/>
  <c r="M22" i="32"/>
  <c r="C13" i="82" s="1"/>
  <c r="BA22" i="32"/>
  <c r="C53" i="82" s="1"/>
  <c r="B53" i="82"/>
  <c r="AV22" i="32"/>
  <c r="C48" i="82" s="1"/>
  <c r="B48" i="82"/>
  <c r="AR22" i="32"/>
  <c r="C44" i="82" s="1"/>
  <c r="B44" i="82"/>
  <c r="AN22" i="32"/>
  <c r="C40" i="82" s="1"/>
  <c r="B40" i="82"/>
  <c r="AH22" i="32"/>
  <c r="C34" i="82" s="1"/>
  <c r="B34" i="82"/>
  <c r="AD22" i="32"/>
  <c r="C30" i="82" s="1"/>
  <c r="B30" i="82"/>
  <c r="Z22" i="32"/>
  <c r="C26" i="82" s="1"/>
  <c r="B26" i="82"/>
  <c r="W22" i="32"/>
  <c r="C23" i="82" s="1"/>
  <c r="B23" i="82"/>
  <c r="S22" i="32"/>
  <c r="C19" i="82" s="1"/>
  <c r="B19" i="82"/>
  <c r="O22" i="32"/>
  <c r="C15" i="82" s="1"/>
  <c r="B15" i="82"/>
  <c r="I22" i="32"/>
  <c r="C9" i="82" s="1"/>
  <c r="B9" i="82"/>
  <c r="E22" i="32"/>
  <c r="C5" i="82" s="1"/>
  <c r="B5" i="82"/>
  <c r="AY22" i="32"/>
  <c r="C51" i="82" s="1"/>
  <c r="B51" i="82"/>
  <c r="AU22" i="32"/>
  <c r="C47" i="82" s="1"/>
  <c r="B47" i="82"/>
  <c r="AQ22" i="32"/>
  <c r="C43" i="82" s="1"/>
  <c r="B43" i="82"/>
  <c r="AM22" i="32"/>
  <c r="C39" i="82" s="1"/>
  <c r="B39" i="82"/>
  <c r="AG22" i="32"/>
  <c r="C33" i="82" s="1"/>
  <c r="B33" i="82"/>
  <c r="AC22" i="32"/>
  <c r="C29" i="82" s="1"/>
  <c r="B29" i="82"/>
  <c r="Y22" i="32"/>
  <c r="C25" i="82" s="1"/>
  <c r="B25" i="82"/>
  <c r="T22" i="32"/>
  <c r="C20" i="82" s="1"/>
  <c r="B20" i="82"/>
  <c r="P22" i="32"/>
  <c r="C16" i="82" s="1"/>
  <c r="B16" i="82"/>
  <c r="L22" i="32"/>
  <c r="C12" i="82" s="1"/>
  <c r="B12" i="82"/>
  <c r="H22" i="32"/>
  <c r="C8" i="82" s="1"/>
  <c r="B8" i="82"/>
  <c r="D22" i="32"/>
  <c r="C4" i="82" s="1"/>
  <c r="B4" i="82"/>
  <c r="AX22" i="32"/>
  <c r="C50" i="82" s="1"/>
  <c r="B50" i="82"/>
  <c r="X22" i="32"/>
  <c r="C24" i="82" s="1"/>
  <c r="B24" i="82"/>
  <c r="D24" i="32"/>
  <c r="AJ25" i="32"/>
  <c r="E36" i="82" s="1"/>
  <c r="D36" i="82"/>
  <c r="AJ22" i="32"/>
  <c r="C36" i="82" s="1"/>
  <c r="B36" i="82"/>
  <c r="AT22" i="32"/>
  <c r="C46" i="82" s="1"/>
  <c r="B46" i="82"/>
  <c r="AP22" i="32"/>
  <c r="C42" i="82" s="1"/>
  <c r="B42" i="82"/>
  <c r="AL22" i="32"/>
  <c r="C38" i="82" s="1"/>
  <c r="B38" i="82"/>
  <c r="AF22" i="32"/>
  <c r="C32" i="82" s="1"/>
  <c r="B32" i="82"/>
  <c r="AB22" i="32"/>
  <c r="C28" i="82" s="1"/>
  <c r="B28" i="82"/>
  <c r="U22" i="32"/>
  <c r="C21" i="82" s="1"/>
  <c r="B21" i="82"/>
  <c r="Q22" i="32"/>
  <c r="C17" i="82" s="1"/>
  <c r="B17" i="82"/>
  <c r="K22" i="32"/>
  <c r="C11" i="82" s="1"/>
  <c r="B11" i="82"/>
  <c r="G22" i="32"/>
  <c r="C7" i="82" s="1"/>
  <c r="B7" i="82"/>
  <c r="AZ22" i="32"/>
  <c r="C52" i="82" s="1"/>
  <c r="B52" i="82"/>
  <c r="AW22" i="32"/>
  <c r="C49" i="82" s="1"/>
  <c r="B49" i="82"/>
  <c r="AS22" i="32"/>
  <c r="C45" i="82" s="1"/>
  <c r="B45" i="82"/>
  <c r="AO22" i="32"/>
  <c r="C41" i="82" s="1"/>
  <c r="B41" i="82"/>
  <c r="B35" i="82"/>
  <c r="AE22" i="32"/>
  <c r="C31" i="82" s="1"/>
  <c r="B31" i="82"/>
  <c r="AA22" i="32"/>
  <c r="C27" i="82" s="1"/>
  <c r="B27" i="82"/>
  <c r="V22" i="32"/>
  <c r="C22" i="82" s="1"/>
  <c r="B22" i="82"/>
  <c r="R22" i="32"/>
  <c r="C18" i="82" s="1"/>
  <c r="B18" i="82"/>
  <c r="N22" i="32"/>
  <c r="C14" i="82" s="1"/>
  <c r="B14" i="82"/>
  <c r="J22" i="32"/>
  <c r="C10" i="82" s="1"/>
  <c r="B10" i="82"/>
  <c r="F22" i="32"/>
  <c r="C6" i="82" s="1"/>
  <c r="B6" i="82"/>
  <c r="AT25" i="32"/>
  <c r="E46" i="82" s="1"/>
  <c r="AZ25" i="32"/>
  <c r="E52" i="82" s="1"/>
  <c r="D52" i="82"/>
  <c r="AQ25" i="32"/>
  <c r="E43" i="82" s="1"/>
  <c r="X25" i="32"/>
  <c r="E24" i="82" s="1"/>
  <c r="C22" i="32"/>
  <c r="C3" i="82" s="1"/>
  <c r="B3" i="82"/>
  <c r="M25" i="32"/>
  <c r="E13" i="82" s="1"/>
  <c r="D13" i="82"/>
  <c r="AU25" i="32"/>
  <c r="E47" i="82" s="1"/>
  <c r="E24" i="32"/>
  <c r="AS24" i="32"/>
  <c r="AB24" i="32"/>
  <c r="AN24" i="32"/>
  <c r="Y24" i="32"/>
  <c r="H24" i="32"/>
  <c r="AR24" i="32"/>
  <c r="AY24" i="32"/>
  <c r="AV24" i="32"/>
  <c r="I24" i="32"/>
  <c r="G24" i="32"/>
  <c r="C24" i="32"/>
  <c r="AD24" i="32"/>
  <c r="AK24" i="32"/>
  <c r="D37" i="82" s="1"/>
  <c r="AA24" i="32"/>
  <c r="BC10" i="32"/>
  <c r="C48" i="50"/>
  <c r="BD8" i="32"/>
  <c r="AL24" i="32"/>
  <c r="BC21" i="32"/>
  <c r="BC22" i="32" s="1"/>
  <c r="BC8" i="32"/>
  <c r="AW24" i="32"/>
  <c r="BD10" i="32"/>
  <c r="Z24" i="32"/>
  <c r="BE8" i="32"/>
  <c r="BE10" i="32"/>
  <c r="H23" i="65"/>
  <c r="BD21" i="32"/>
  <c r="BD22" i="32" s="1"/>
  <c r="BB10" i="32"/>
  <c r="C21" i="52"/>
  <c r="AM24" i="32"/>
  <c r="P24" i="32"/>
  <c r="F23" i="65"/>
  <c r="N23" i="65"/>
  <c r="P10" i="65"/>
  <c r="C10" i="66" s="1"/>
  <c r="P8" i="65"/>
  <c r="C8" i="66" s="1"/>
  <c r="AD8" i="77"/>
  <c r="C8" i="78" s="1"/>
  <c r="C22" i="78" s="1"/>
  <c r="AD10" i="77"/>
  <c r="C10" i="78" s="1"/>
  <c r="AI24" i="32"/>
  <c r="AC24" i="32"/>
  <c r="AO24" i="32"/>
  <c r="R24" i="32"/>
  <c r="S24" i="32"/>
  <c r="AG24" i="32"/>
  <c r="T24" i="32"/>
  <c r="C10" i="52"/>
  <c r="U24" i="32"/>
  <c r="O24" i="32"/>
  <c r="AI22" i="32"/>
  <c r="C35" i="82" s="1"/>
  <c r="C23" i="65"/>
  <c r="AF24" i="32"/>
  <c r="W24" i="32"/>
  <c r="V24" i="32"/>
  <c r="L24" i="32"/>
  <c r="C8" i="52"/>
  <c r="Q24" i="32"/>
  <c r="AH24" i="32"/>
  <c r="F24" i="32"/>
  <c r="BB21" i="32"/>
  <c r="BB22" i="32" s="1"/>
  <c r="BE21" i="32"/>
  <c r="BE22" i="32" s="1"/>
  <c r="P21" i="65"/>
  <c r="C21" i="66" s="1"/>
  <c r="BA24" i="32"/>
  <c r="BG226" i="24"/>
  <c r="BH226" i="24"/>
  <c r="BF226" i="24"/>
  <c r="BE226" i="24"/>
  <c r="F220" i="31" s="1"/>
  <c r="BB3" i="22"/>
  <c r="BE3" i="22"/>
  <c r="BD3" i="22"/>
  <c r="BC3" i="22"/>
  <c r="D42" i="82" l="1"/>
  <c r="D14" i="82"/>
  <c r="BD5" i="38"/>
  <c r="AE25" i="32"/>
  <c r="E31" i="82" s="1"/>
  <c r="BE8" i="38"/>
  <c r="AC15" i="40"/>
  <c r="AC17" i="35"/>
  <c r="AC17" i="40" s="1"/>
  <c r="J15" i="40"/>
  <c r="J17" i="35"/>
  <c r="J17" i="40" s="1"/>
  <c r="AV15" i="40"/>
  <c r="AV17" i="35"/>
  <c r="AV17" i="40" s="1"/>
  <c r="AB15" i="40"/>
  <c r="AB17" i="35"/>
  <c r="AB17" i="40" s="1"/>
  <c r="AJ17" i="35"/>
  <c r="AJ17" i="40" s="1"/>
  <c r="AJ15" i="40"/>
  <c r="BF8" i="35"/>
  <c r="BF17" i="35" s="1"/>
  <c r="N15" i="40"/>
  <c r="N17" i="35"/>
  <c r="N17" i="40" s="1"/>
  <c r="AW15" i="40"/>
  <c r="AW17" i="35"/>
  <c r="AW17" i="40" s="1"/>
  <c r="AZ15" i="40"/>
  <c r="AZ17" i="35"/>
  <c r="AZ17" i="40" s="1"/>
  <c r="L15" i="40"/>
  <c r="L17" i="35"/>
  <c r="L17" i="40" s="1"/>
  <c r="BE8" i="35"/>
  <c r="BE17" i="35" s="1"/>
  <c r="X15" i="40"/>
  <c r="X17" i="35"/>
  <c r="X17" i="40" s="1"/>
  <c r="AY15" i="40"/>
  <c r="D15" i="43" s="1"/>
  <c r="AY17" i="35"/>
  <c r="AY17" i="40" s="1"/>
  <c r="D18" i="43" s="1"/>
  <c r="M15" i="40"/>
  <c r="M17" i="35"/>
  <c r="M17" i="40" s="1"/>
  <c r="E15" i="40"/>
  <c r="E17" i="35"/>
  <c r="E17" i="40" s="1"/>
  <c r="BD8" i="35"/>
  <c r="BD17" i="35" s="1"/>
  <c r="BF8" i="38"/>
  <c r="C24" i="52"/>
  <c r="BD8" i="38"/>
  <c r="AT15" i="40"/>
  <c r="AT17" i="35"/>
  <c r="AT17" i="40" s="1"/>
  <c r="AA15" i="40"/>
  <c r="AA17" i="35"/>
  <c r="AA17" i="40" s="1"/>
  <c r="AP15" i="40"/>
  <c r="AP17" i="35"/>
  <c r="AP17" i="40" s="1"/>
  <c r="Y15" i="40"/>
  <c r="Y17" i="35"/>
  <c r="Y17" i="40" s="1"/>
  <c r="BF5" i="35"/>
  <c r="AE15" i="40"/>
  <c r="AE17" i="35"/>
  <c r="AE17" i="40" s="1"/>
  <c r="BA15" i="40"/>
  <c r="BA17" i="35"/>
  <c r="BA17" i="40" s="1"/>
  <c r="I15" i="40"/>
  <c r="I17" i="35"/>
  <c r="I17" i="40" s="1"/>
  <c r="O15" i="40"/>
  <c r="O17" i="35"/>
  <c r="O17" i="40" s="1"/>
  <c r="D5" i="38"/>
  <c r="D5" i="35"/>
  <c r="D6" i="38"/>
  <c r="D6" i="35"/>
  <c r="BD5" i="35"/>
  <c r="BF5" i="38"/>
  <c r="D10" i="82"/>
  <c r="AK25" i="32"/>
  <c r="E37" i="82" s="1"/>
  <c r="C22" i="52"/>
  <c r="AH25" i="32"/>
  <c r="E34" i="82" s="1"/>
  <c r="D34" i="82"/>
  <c r="V25" i="32"/>
  <c r="E22" i="82" s="1"/>
  <c r="D22" i="82"/>
  <c r="T25" i="32"/>
  <c r="E20" i="82" s="1"/>
  <c r="D20" i="82"/>
  <c r="AO25" i="32"/>
  <c r="E41" i="82" s="1"/>
  <c r="D41" i="82"/>
  <c r="D35" i="82"/>
  <c r="BA25" i="32"/>
  <c r="E53" i="82" s="1"/>
  <c r="D53" i="82"/>
  <c r="F25" i="32"/>
  <c r="E6" i="82" s="1"/>
  <c r="D6" i="82"/>
  <c r="Q25" i="32"/>
  <c r="E17" i="82" s="1"/>
  <c r="D17" i="82"/>
  <c r="L25" i="32"/>
  <c r="E12" i="82" s="1"/>
  <c r="D12" i="82"/>
  <c r="W25" i="32"/>
  <c r="E23" i="82" s="1"/>
  <c r="D23" i="82"/>
  <c r="O25" i="32"/>
  <c r="E15" i="82" s="1"/>
  <c r="D15" i="82"/>
  <c r="AG25" i="32"/>
  <c r="E33" i="82" s="1"/>
  <c r="D33" i="82"/>
  <c r="R25" i="32"/>
  <c r="E18" i="82" s="1"/>
  <c r="D18" i="82"/>
  <c r="AC25" i="32"/>
  <c r="E29" i="82" s="1"/>
  <c r="D29" i="82"/>
  <c r="AM25" i="32"/>
  <c r="E39" i="82" s="1"/>
  <c r="D39" i="82"/>
  <c r="G25" i="32"/>
  <c r="E7" i="82" s="1"/>
  <c r="D7" i="82"/>
  <c r="AV25" i="32"/>
  <c r="E48" i="82" s="1"/>
  <c r="D48" i="82"/>
  <c r="H25" i="32"/>
  <c r="E8" i="82" s="1"/>
  <c r="D8" i="82"/>
  <c r="AN25" i="32"/>
  <c r="E40" i="82" s="1"/>
  <c r="D40" i="82"/>
  <c r="AB25" i="32"/>
  <c r="E28" i="82" s="1"/>
  <c r="D28" i="82"/>
  <c r="E25" i="32"/>
  <c r="E5" i="82" s="1"/>
  <c r="D5" i="82"/>
  <c r="AF25" i="32"/>
  <c r="E32" i="82" s="1"/>
  <c r="D32" i="82"/>
  <c r="U25" i="32"/>
  <c r="E21" i="82" s="1"/>
  <c r="D21" i="82"/>
  <c r="S25" i="32"/>
  <c r="E19" i="82" s="1"/>
  <c r="D19" i="82"/>
  <c r="P25" i="32"/>
  <c r="E16" i="82" s="1"/>
  <c r="D16" i="82"/>
  <c r="Z25" i="32"/>
  <c r="E26" i="82" s="1"/>
  <c r="D26" i="82"/>
  <c r="AW25" i="32"/>
  <c r="E49" i="82" s="1"/>
  <c r="D49" i="82"/>
  <c r="AL25" i="32"/>
  <c r="E38" i="82" s="1"/>
  <c r="D38" i="82"/>
  <c r="AA25" i="32"/>
  <c r="E27" i="82" s="1"/>
  <c r="D27" i="82"/>
  <c r="AD25" i="32"/>
  <c r="E30" i="82" s="1"/>
  <c r="D30" i="82"/>
  <c r="C25" i="32"/>
  <c r="E3" i="82" s="1"/>
  <c r="D3" i="82"/>
  <c r="I25" i="32"/>
  <c r="E9" i="82" s="1"/>
  <c r="D9" i="82"/>
  <c r="AY25" i="32"/>
  <c r="E51" i="82" s="1"/>
  <c r="D51" i="82"/>
  <c r="AR25" i="32"/>
  <c r="E44" i="82" s="1"/>
  <c r="D44" i="82"/>
  <c r="Y25" i="32"/>
  <c r="E25" i="82" s="1"/>
  <c r="D25" i="82"/>
  <c r="AS25" i="32"/>
  <c r="E45" i="82" s="1"/>
  <c r="D45" i="82"/>
  <c r="D25" i="32"/>
  <c r="E4" i="82" s="1"/>
  <c r="D4" i="82"/>
  <c r="P23" i="65"/>
  <c r="C23" i="66" s="1"/>
  <c r="BE24" i="32"/>
  <c r="BE25" i="32" s="1"/>
  <c r="BD24" i="32"/>
  <c r="BD25" i="32" s="1"/>
  <c r="BC24" i="32"/>
  <c r="BC25" i="32" s="1"/>
  <c r="BB24" i="32"/>
  <c r="BB25" i="32" s="1"/>
  <c r="AI25" i="32"/>
  <c r="E35" i="82" s="1"/>
  <c r="BD3" i="24"/>
  <c r="BC3" i="24"/>
  <c r="BB3" i="24"/>
  <c r="BA3" i="24"/>
  <c r="AZ3" i="24"/>
  <c r="AY3" i="24"/>
  <c r="AX3" i="24"/>
  <c r="AW3" i="24"/>
  <c r="AV3" i="24"/>
  <c r="AU3" i="24"/>
  <c r="AT3" i="24"/>
  <c r="AS3" i="24"/>
  <c r="AR3" i="24"/>
  <c r="AQ3" i="24"/>
  <c r="AP3" i="24"/>
  <c r="AO3" i="24"/>
  <c r="AN3" i="24"/>
  <c r="AM3" i="24"/>
  <c r="AL3" i="24"/>
  <c r="AJ3" i="24"/>
  <c r="AI3" i="24"/>
  <c r="AH3" i="24"/>
  <c r="AG3" i="24"/>
  <c r="AF3" i="24"/>
  <c r="AE3" i="24"/>
  <c r="AD3" i="24"/>
  <c r="AC3" i="24"/>
  <c r="AB3" i="24"/>
  <c r="AA3" i="24"/>
  <c r="Z3" i="24"/>
  <c r="X3" i="24"/>
  <c r="W3" i="24"/>
  <c r="V3" i="24"/>
  <c r="U3" i="24"/>
  <c r="T3" i="24"/>
  <c r="S3" i="24"/>
  <c r="R3" i="24"/>
  <c r="Q3" i="24"/>
  <c r="P3" i="24"/>
  <c r="O3" i="24"/>
  <c r="N3" i="24"/>
  <c r="M3" i="24"/>
  <c r="L3" i="24"/>
  <c r="K3" i="24"/>
  <c r="J3" i="24"/>
  <c r="I3" i="24"/>
  <c r="H3" i="24"/>
  <c r="G3" i="24"/>
  <c r="F3" i="24"/>
  <c r="BD15" i="40" l="1"/>
  <c r="D8" i="38"/>
  <c r="D12" i="38" s="1"/>
  <c r="D35" i="40" s="1"/>
  <c r="BE15" i="40"/>
  <c r="BF17" i="40"/>
  <c r="D8" i="35"/>
  <c r="D15" i="40" s="1"/>
  <c r="BD17" i="40"/>
  <c r="BE17" i="40"/>
  <c r="BF15" i="40"/>
  <c r="C25" i="52"/>
  <c r="BE3" i="24"/>
  <c r="F3" i="31" s="1"/>
  <c r="BG3" i="24"/>
  <c r="BF3" i="24"/>
  <c r="BG7"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G59" i="23"/>
  <c r="BG60" i="23"/>
  <c r="BG61" i="23"/>
  <c r="BG62" i="23"/>
  <c r="BG63" i="23"/>
  <c r="BG67" i="23"/>
  <c r="BG68" i="23"/>
  <c r="BG69" i="23"/>
  <c r="BG70" i="23"/>
  <c r="BG71" i="23"/>
  <c r="BG72" i="23"/>
  <c r="BG73" i="23"/>
  <c r="BG79" i="23"/>
  <c r="BG80" i="23"/>
  <c r="BG81" i="23"/>
  <c r="BG85" i="23"/>
  <c r="BG86" i="23"/>
  <c r="BG87" i="23"/>
  <c r="BG91" i="23"/>
  <c r="BG92" i="23"/>
  <c r="BG93" i="23"/>
  <c r="BG94" i="23"/>
  <c r="BG95" i="23"/>
  <c r="BG96" i="23"/>
  <c r="BG97" i="23"/>
  <c r="BG98" i="23"/>
  <c r="BG102" i="23"/>
  <c r="BG103" i="23"/>
  <c r="BG104" i="23"/>
  <c r="BG108" i="23"/>
  <c r="BG109" i="23"/>
  <c r="BG110" i="23"/>
  <c r="BG111" i="23"/>
  <c r="BG112" i="23"/>
  <c r="BG113" i="23"/>
  <c r="BG114" i="23"/>
  <c r="BG115" i="23"/>
  <c r="BG116" i="23"/>
  <c r="BG120" i="23"/>
  <c r="BG124" i="23"/>
  <c r="BG125" i="23"/>
  <c r="BG126" i="23"/>
  <c r="BG127" i="23"/>
  <c r="BG134" i="23"/>
  <c r="BG135" i="23"/>
  <c r="BG136" i="23"/>
  <c r="BG137" i="23"/>
  <c r="BG138" i="23"/>
  <c r="BG139" i="23"/>
  <c r="BG143" i="23"/>
  <c r="BG144" i="23"/>
  <c r="BG145" i="23"/>
  <c r="BG146" i="23"/>
  <c r="BG147" i="23"/>
  <c r="BG148" i="23"/>
  <c r="BG149" i="23"/>
  <c r="BG156" i="23"/>
  <c r="BG155" i="23"/>
  <c r="BG142" i="23"/>
  <c r="BG133" i="23"/>
  <c r="BG130" i="23"/>
  <c r="BG123" i="23"/>
  <c r="BG119" i="23"/>
  <c r="BG107" i="23"/>
  <c r="BG101" i="23"/>
  <c r="BG90" i="23"/>
  <c r="BG84" i="23"/>
  <c r="BG78" i="23"/>
  <c r="BG66" i="23"/>
  <c r="BG58" i="23"/>
  <c r="BG55" i="23"/>
  <c r="BG42" i="23"/>
  <c r="BG34" i="23"/>
  <c r="BG35" i="23"/>
  <c r="BG36" i="23"/>
  <c r="BG37" i="23"/>
  <c r="BG38" i="23"/>
  <c r="BG30" i="23"/>
  <c r="BG18" i="23"/>
  <c r="BG19" i="23"/>
  <c r="BG20" i="23"/>
  <c r="BG21" i="23"/>
  <c r="BG22" i="23"/>
  <c r="BG23" i="23"/>
  <c r="BG24" i="23"/>
  <c r="BG25" i="23"/>
  <c r="BG26" i="23"/>
  <c r="BG46" i="23"/>
  <c r="BG47" i="23"/>
  <c r="BG48" i="23"/>
  <c r="BG49" i="23"/>
  <c r="BG50" i="23"/>
  <c r="BG51" i="23"/>
  <c r="BG52" i="23"/>
  <c r="BG45" i="23"/>
  <c r="BG41" i="23"/>
  <c r="BG33" i="23"/>
  <c r="BG29" i="23"/>
  <c r="BG17" i="23"/>
  <c r="BF18" i="23"/>
  <c r="BF18" i="29" s="1"/>
  <c r="BF19" i="23"/>
  <c r="BF19" i="29" s="1"/>
  <c r="BF20" i="23"/>
  <c r="BF20" i="29" s="1"/>
  <c r="BF21" i="23"/>
  <c r="BF21" i="29" s="1"/>
  <c r="BF22" i="23"/>
  <c r="BF22" i="29" s="1"/>
  <c r="BF23" i="23"/>
  <c r="BF23" i="29" s="1"/>
  <c r="BF24" i="23"/>
  <c r="BF24" i="29" s="1"/>
  <c r="BF25" i="23"/>
  <c r="BF25" i="29" s="1"/>
  <c r="BF26" i="23"/>
  <c r="BF26" i="29" s="1"/>
  <c r="BF30" i="23"/>
  <c r="BF30" i="29" s="1"/>
  <c r="BF34" i="23"/>
  <c r="BF34" i="29" s="1"/>
  <c r="BF35" i="23"/>
  <c r="BF35" i="29" s="1"/>
  <c r="BF36" i="23"/>
  <c r="BF36" i="29" s="1"/>
  <c r="BF37" i="23"/>
  <c r="BF38" i="23"/>
  <c r="BF38" i="29" s="1"/>
  <c r="BF42" i="23"/>
  <c r="BF42" i="29" s="1"/>
  <c r="BF46" i="23"/>
  <c r="BF46" i="29" s="1"/>
  <c r="BF47" i="23"/>
  <c r="BF47" i="29" s="1"/>
  <c r="BF48" i="23"/>
  <c r="BF48" i="29" s="1"/>
  <c r="BF49" i="23"/>
  <c r="BF50" i="23"/>
  <c r="BF51" i="23"/>
  <c r="BF52" i="23"/>
  <c r="BF52" i="29" s="1"/>
  <c r="BF59" i="23"/>
  <c r="BF59" i="29" s="1"/>
  <c r="BF60" i="23"/>
  <c r="BF60" i="29" s="1"/>
  <c r="BF61" i="23"/>
  <c r="BF61" i="29" s="1"/>
  <c r="BF62" i="23"/>
  <c r="BF62" i="29" s="1"/>
  <c r="BF63" i="23"/>
  <c r="BF63" i="29" s="1"/>
  <c r="BF67" i="23"/>
  <c r="BF67" i="29" s="1"/>
  <c r="BF68" i="23"/>
  <c r="BF68" i="29" s="1"/>
  <c r="BF69" i="23"/>
  <c r="BF69" i="29" s="1"/>
  <c r="BF70" i="23"/>
  <c r="BF70" i="29" s="1"/>
  <c r="BF71" i="23"/>
  <c r="BF71" i="29" s="1"/>
  <c r="BF72" i="23"/>
  <c r="BF72" i="29" s="1"/>
  <c r="BF73" i="23"/>
  <c r="BF73" i="29" s="1"/>
  <c r="BF79" i="23"/>
  <c r="BF39" i="42" s="1"/>
  <c r="BF80" i="23"/>
  <c r="BF40" i="42" s="1"/>
  <c r="BF81" i="23"/>
  <c r="BF85" i="23"/>
  <c r="BF86" i="23"/>
  <c r="BF87" i="23"/>
  <c r="BF91" i="23"/>
  <c r="BF92" i="23"/>
  <c r="BF93" i="23"/>
  <c r="BF94" i="23"/>
  <c r="BF95" i="23"/>
  <c r="BF96" i="23"/>
  <c r="BF97" i="23"/>
  <c r="BF98" i="23"/>
  <c r="BF102" i="23"/>
  <c r="BF103" i="23"/>
  <c r="BF104" i="23"/>
  <c r="BF108" i="23"/>
  <c r="BF42" i="42" s="1"/>
  <c r="BF109" i="23"/>
  <c r="BF43" i="42" s="1"/>
  <c r="BF110" i="23"/>
  <c r="BF44" i="42" s="1"/>
  <c r="BF111" i="23"/>
  <c r="BF45" i="42" s="1"/>
  <c r="BF112" i="23"/>
  <c r="BF113" i="23"/>
  <c r="BF114" i="23"/>
  <c r="BF115" i="23"/>
  <c r="BF116" i="23"/>
  <c r="BF120" i="23"/>
  <c r="BE120" i="23"/>
  <c r="BF124" i="23"/>
  <c r="BF125" i="23"/>
  <c r="BF126" i="23"/>
  <c r="BF127" i="23"/>
  <c r="BF134" i="23"/>
  <c r="BF135" i="23"/>
  <c r="BF136" i="23"/>
  <c r="BF137" i="23"/>
  <c r="BF138" i="23"/>
  <c r="BF139" i="23"/>
  <c r="BF143" i="23"/>
  <c r="BF144" i="23"/>
  <c r="BF145" i="23"/>
  <c r="BF146" i="23"/>
  <c r="BF147" i="23"/>
  <c r="BF148" i="23"/>
  <c r="BF149" i="23"/>
  <c r="BF156" i="23"/>
  <c r="C58" i="79" s="1"/>
  <c r="BF155" i="23"/>
  <c r="B58" i="79" s="1"/>
  <c r="BF142" i="23"/>
  <c r="BF133" i="23"/>
  <c r="BF130" i="23"/>
  <c r="BF123" i="23"/>
  <c r="BF119" i="23"/>
  <c r="BF107" i="23"/>
  <c r="BF41" i="42" s="1"/>
  <c r="BF101" i="23"/>
  <c r="BF90" i="23"/>
  <c r="BF84" i="23"/>
  <c r="BF78" i="23"/>
  <c r="BF38" i="42" s="1"/>
  <c r="BF66" i="23"/>
  <c r="BF66" i="29" s="1"/>
  <c r="BF58" i="23"/>
  <c r="BF58" i="29" s="1"/>
  <c r="BF55" i="23"/>
  <c r="BF55" i="29" s="1"/>
  <c r="BF45" i="23"/>
  <c r="BF45" i="29" s="1"/>
  <c r="BF41" i="23"/>
  <c r="BF41" i="29" s="1"/>
  <c r="BF33" i="23"/>
  <c r="BF29" i="23"/>
  <c r="BF29" i="29" s="1"/>
  <c r="BF17" i="23"/>
  <c r="BF17" i="29" s="1"/>
  <c r="BE156" i="23"/>
  <c r="BE143" i="23"/>
  <c r="BE144" i="23"/>
  <c r="BE145" i="23"/>
  <c r="BE146" i="23"/>
  <c r="BE147" i="23"/>
  <c r="BE148" i="23"/>
  <c r="BE149" i="23"/>
  <c r="BE134" i="23"/>
  <c r="BE135" i="23"/>
  <c r="BE136" i="23"/>
  <c r="BE137" i="23"/>
  <c r="BE138" i="23"/>
  <c r="BE139" i="23"/>
  <c r="BE124" i="23"/>
  <c r="BE125" i="23"/>
  <c r="BE126" i="23"/>
  <c r="BE127" i="23"/>
  <c r="BE155" i="23"/>
  <c r="BE142" i="23"/>
  <c r="BE133" i="23"/>
  <c r="BE130" i="23"/>
  <c r="BE123" i="23"/>
  <c r="BE119" i="23"/>
  <c r="BE108" i="23"/>
  <c r="BE109" i="23"/>
  <c r="BE110" i="23"/>
  <c r="BE111" i="23"/>
  <c r="BE112" i="23"/>
  <c r="BE113" i="23"/>
  <c r="BE114" i="23"/>
  <c r="BE115" i="23"/>
  <c r="BE116" i="23"/>
  <c r="BE107" i="23"/>
  <c r="BE104" i="23"/>
  <c r="BE102" i="23"/>
  <c r="BE103" i="23"/>
  <c r="BE101" i="23"/>
  <c r="BE91" i="23"/>
  <c r="BE92" i="23"/>
  <c r="BE93" i="23"/>
  <c r="BE94" i="23"/>
  <c r="BE95" i="23"/>
  <c r="BE96" i="23"/>
  <c r="BE97" i="23"/>
  <c r="BE98" i="23"/>
  <c r="BE90" i="23"/>
  <c r="BE85" i="23"/>
  <c r="BE86" i="23"/>
  <c r="BE87" i="23"/>
  <c r="BE84" i="23"/>
  <c r="BE79" i="23"/>
  <c r="BE80" i="23"/>
  <c r="BE81" i="23"/>
  <c r="BE78" i="23"/>
  <c r="BE67" i="23"/>
  <c r="BE68" i="23"/>
  <c r="BE69" i="23"/>
  <c r="BE70" i="23"/>
  <c r="BE71" i="23"/>
  <c r="BE72" i="23"/>
  <c r="BE73" i="23"/>
  <c r="BE66" i="23"/>
  <c r="BE59" i="23"/>
  <c r="BE60" i="23"/>
  <c r="BE61" i="23"/>
  <c r="BE62" i="23"/>
  <c r="BE63" i="23"/>
  <c r="BE58" i="23"/>
  <c r="BE55" i="23"/>
  <c r="BE46" i="23"/>
  <c r="BE47" i="23"/>
  <c r="BE48" i="23"/>
  <c r="BE49" i="23"/>
  <c r="BE50" i="23"/>
  <c r="BE51" i="23"/>
  <c r="BE52" i="23"/>
  <c r="BE45" i="23"/>
  <c r="BE42" i="23"/>
  <c r="BE41" i="23"/>
  <c r="BE34" i="23"/>
  <c r="BE35" i="23"/>
  <c r="BE36" i="23"/>
  <c r="BE37" i="23"/>
  <c r="BE38" i="23"/>
  <c r="BE33" i="23"/>
  <c r="BE30" i="23"/>
  <c r="BE29" i="23"/>
  <c r="BE18" i="23"/>
  <c r="BE19" i="23"/>
  <c r="BE20" i="23"/>
  <c r="BE21" i="23"/>
  <c r="BE22" i="23"/>
  <c r="BE23" i="23"/>
  <c r="BE24" i="23"/>
  <c r="BE25" i="23"/>
  <c r="BE26" i="23"/>
  <c r="BE17" i="23"/>
  <c r="C57" i="79" l="1"/>
  <c r="B57" i="79"/>
  <c r="BE45" i="42"/>
  <c r="BE44" i="42"/>
  <c r="BE43" i="42"/>
  <c r="BE42" i="42"/>
  <c r="BE41" i="42"/>
  <c r="BE40" i="42"/>
  <c r="BE39" i="42"/>
  <c r="BE38" i="42"/>
  <c r="C59" i="79"/>
  <c r="B59" i="79"/>
  <c r="BG45" i="42"/>
  <c r="BG44" i="42"/>
  <c r="BG43" i="42"/>
  <c r="BG42" i="42"/>
  <c r="BG41" i="42"/>
  <c r="BG40" i="42"/>
  <c r="BG39" i="42"/>
  <c r="BG38" i="42"/>
  <c r="BG31" i="42"/>
  <c r="BG30" i="42"/>
  <c r="BG29" i="42"/>
  <c r="BG24" i="42"/>
  <c r="BG23" i="42"/>
  <c r="BE31" i="42"/>
  <c r="BE30" i="42"/>
  <c r="BE29" i="42"/>
  <c r="BE24" i="42"/>
  <c r="BE23" i="42"/>
  <c r="BF31" i="42"/>
  <c r="BF51" i="29"/>
  <c r="BF30" i="42"/>
  <c r="BF50" i="29"/>
  <c r="BF29" i="42"/>
  <c r="BF49" i="29"/>
  <c r="BF24" i="42"/>
  <c r="BF37" i="29"/>
  <c r="BF23" i="42"/>
  <c r="BF33" i="29"/>
  <c r="G58" i="79"/>
  <c r="BF51" i="42"/>
  <c r="F57" i="79"/>
  <c r="BE32" i="42"/>
  <c r="G57" i="79"/>
  <c r="BE51" i="42"/>
  <c r="F58" i="79"/>
  <c r="BF32" i="42"/>
  <c r="G59" i="79"/>
  <c r="BG51" i="42"/>
  <c r="F59" i="79"/>
  <c r="BG32" i="42"/>
  <c r="BE3" i="23"/>
  <c r="BE165" i="29" s="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G221" i="24"/>
  <c r="BG224" i="24" s="1"/>
  <c r="C45" i="26"/>
  <c r="BH221" i="24"/>
  <c r="BH224" i="24" s="1"/>
  <c r="C21" i="26"/>
  <c r="BF221" i="24"/>
  <c r="BF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A166" i="29"/>
  <c r="AA167" i="29"/>
  <c r="AA168" i="29"/>
  <c r="AA169" i="29"/>
  <c r="AA172" i="29"/>
  <c r="AA165" i="29"/>
  <c r="AA174" i="29"/>
  <c r="AA175" i="29"/>
  <c r="AA170" i="29"/>
  <c r="AA171" i="29"/>
  <c r="AA173" i="29"/>
  <c r="AA176" i="29"/>
  <c r="AA177" i="29"/>
  <c r="AC166" i="29"/>
  <c r="AC167" i="29"/>
  <c r="AC165" i="29"/>
  <c r="AC168" i="29"/>
  <c r="AC169" i="29"/>
  <c r="AC172" i="29"/>
  <c r="AC170" i="29"/>
  <c r="AC171" i="29"/>
  <c r="AC174" i="29"/>
  <c r="AC175" i="29"/>
  <c r="AC173" i="29"/>
  <c r="AC176" i="29"/>
  <c r="AC177" i="29"/>
  <c r="AE166" i="29"/>
  <c r="AE167" i="29"/>
  <c r="AE168" i="29"/>
  <c r="AE169" i="29"/>
  <c r="AE172" i="29"/>
  <c r="AE170" i="29"/>
  <c r="AE171" i="29"/>
  <c r="AE174" i="29"/>
  <c r="AE175" i="29"/>
  <c r="AE165" i="29"/>
  <c r="AE173" i="29"/>
  <c r="AE176" i="29"/>
  <c r="AE177" i="29"/>
  <c r="AG166" i="29"/>
  <c r="AG167" i="29"/>
  <c r="AG165" i="29"/>
  <c r="AG168" i="29"/>
  <c r="AG169" i="29"/>
  <c r="AG170" i="29"/>
  <c r="AG171" i="29"/>
  <c r="AG174" i="29"/>
  <c r="AG175" i="29"/>
  <c r="AG172" i="29"/>
  <c r="AG173" i="29"/>
  <c r="AG176" i="29"/>
  <c r="AG177" i="29"/>
  <c r="AI166" i="29"/>
  <c r="AI167" i="29"/>
  <c r="AI168" i="29"/>
  <c r="AI169" i="29"/>
  <c r="AI165" i="29"/>
  <c r="AI174" i="29"/>
  <c r="AI175" i="29"/>
  <c r="AI170" i="29"/>
  <c r="AI171" i="29"/>
  <c r="AI172" i="29"/>
  <c r="AI173" i="29"/>
  <c r="AI176" i="29"/>
  <c r="AI177" i="29"/>
  <c r="AK166" i="29"/>
  <c r="AK167" i="29"/>
  <c r="AK165" i="29"/>
  <c r="AK168" i="29"/>
  <c r="AK169" i="29"/>
  <c r="AK170" i="29"/>
  <c r="AK171" i="29"/>
  <c r="AK174" i="29"/>
  <c r="AK175" i="29"/>
  <c r="AK172" i="29"/>
  <c r="AK173" i="29"/>
  <c r="AK176" i="29"/>
  <c r="AK177" i="29"/>
  <c r="AM166" i="29"/>
  <c r="AM167" i="29"/>
  <c r="AM168" i="29"/>
  <c r="AM169" i="29"/>
  <c r="AM165" i="29"/>
  <c r="AM170" i="29"/>
  <c r="AM171" i="29"/>
  <c r="AM174" i="29"/>
  <c r="AM175" i="29"/>
  <c r="AM172" i="29"/>
  <c r="AM173" i="29"/>
  <c r="AM176" i="29"/>
  <c r="AM177" i="29"/>
  <c r="AO166" i="29"/>
  <c r="AO167" i="29"/>
  <c r="AO165" i="29"/>
  <c r="AO168" i="29"/>
  <c r="AO169" i="29"/>
  <c r="AO170" i="29"/>
  <c r="AO171" i="29"/>
  <c r="AO174" i="29"/>
  <c r="AO175" i="29"/>
  <c r="AO172" i="29"/>
  <c r="AO173" i="29"/>
  <c r="AO176" i="29"/>
  <c r="AO177" i="29"/>
  <c r="AQ166" i="29"/>
  <c r="AQ167" i="29"/>
  <c r="AQ168" i="29"/>
  <c r="AQ169" i="29"/>
  <c r="AQ165" i="29"/>
  <c r="AQ174" i="29"/>
  <c r="AQ175" i="29"/>
  <c r="AQ170" i="29"/>
  <c r="AQ171" i="29"/>
  <c r="AQ172" i="29"/>
  <c r="AQ173" i="29"/>
  <c r="AQ176" i="29"/>
  <c r="AQ177" i="29"/>
  <c r="AS166" i="29"/>
  <c r="AS167" i="29"/>
  <c r="AS165" i="29"/>
  <c r="AS168" i="29"/>
  <c r="AS169" i="29"/>
  <c r="AS170" i="29"/>
  <c r="AS171" i="29"/>
  <c r="AS174" i="29"/>
  <c r="AS175" i="29"/>
  <c r="AS172" i="29"/>
  <c r="AS173" i="29"/>
  <c r="AS176" i="29"/>
  <c r="AS177" i="29"/>
  <c r="AU166" i="29"/>
  <c r="AU167" i="29"/>
  <c r="AU168" i="29"/>
  <c r="AU169" i="29"/>
  <c r="AU170" i="29"/>
  <c r="AU171" i="29"/>
  <c r="AU174" i="29"/>
  <c r="AU175" i="29"/>
  <c r="AU165" i="29"/>
  <c r="AU172" i="29"/>
  <c r="AU173" i="29"/>
  <c r="AU176" i="29"/>
  <c r="AU177" i="29"/>
  <c r="AW166" i="29"/>
  <c r="AW167" i="29"/>
  <c r="AW165" i="29"/>
  <c r="AW168" i="29"/>
  <c r="AW169" i="29"/>
  <c r="AW170" i="29"/>
  <c r="AW171" i="29"/>
  <c r="AW174" i="29"/>
  <c r="AW175" i="29"/>
  <c r="AW172" i="29"/>
  <c r="AW173" i="29"/>
  <c r="AW176" i="29"/>
  <c r="AW177" i="29"/>
  <c r="AY166" i="29"/>
  <c r="AY167" i="29"/>
  <c r="AY168" i="29"/>
  <c r="AY169" i="29"/>
  <c r="AY165" i="29"/>
  <c r="AY174" i="29"/>
  <c r="AY175" i="29"/>
  <c r="AY170" i="29"/>
  <c r="AY171" i="29"/>
  <c r="AY172" i="29"/>
  <c r="AY173" i="29"/>
  <c r="AY176" i="29"/>
  <c r="AY177" i="29"/>
  <c r="BA166" i="29"/>
  <c r="BA167" i="29"/>
  <c r="BA165" i="29"/>
  <c r="BA168" i="29"/>
  <c r="BA169" i="29"/>
  <c r="BA170" i="29"/>
  <c r="BA171" i="29"/>
  <c r="BA174" i="29"/>
  <c r="BA175" i="29"/>
  <c r="BA172" i="29"/>
  <c r="BA173" i="29"/>
  <c r="BA176" i="29"/>
  <c r="BA177" i="29"/>
  <c r="BB166" i="29"/>
  <c r="BB167" i="29"/>
  <c r="BB168" i="29"/>
  <c r="BB169" i="29"/>
  <c r="BB165" i="29"/>
  <c r="BB170" i="29"/>
  <c r="BB171" i="29"/>
  <c r="BB174" i="29"/>
  <c r="BB175" i="29"/>
  <c r="BB172" i="29"/>
  <c r="BB173" i="29"/>
  <c r="BB176" i="29"/>
  <c r="BB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B165" i="29"/>
  <c r="AB166" i="29"/>
  <c r="AB167" i="29"/>
  <c r="AB170" i="29"/>
  <c r="AB171" i="29"/>
  <c r="AB172" i="29"/>
  <c r="AB173" i="29"/>
  <c r="AB176" i="29"/>
  <c r="AB177" i="29"/>
  <c r="AB168" i="29"/>
  <c r="AB169" i="29"/>
  <c r="AB174" i="29"/>
  <c r="AB175" i="29"/>
  <c r="AD165" i="29"/>
  <c r="AD170" i="29"/>
  <c r="AD171" i="29"/>
  <c r="AD168" i="29"/>
  <c r="AD169" i="29"/>
  <c r="AD166" i="29"/>
  <c r="AD172" i="29"/>
  <c r="AD173" i="29"/>
  <c r="AD176" i="29"/>
  <c r="AD177" i="29"/>
  <c r="AD167" i="29"/>
  <c r="AD174" i="29"/>
  <c r="AD175" i="29"/>
  <c r="AF165" i="29"/>
  <c r="AF166" i="29"/>
  <c r="AF167" i="29"/>
  <c r="AF170" i="29"/>
  <c r="AF171" i="29"/>
  <c r="AF172" i="29"/>
  <c r="AF168" i="29"/>
  <c r="AF169" i="29"/>
  <c r="AF173" i="29"/>
  <c r="AF176" i="29"/>
  <c r="AF177" i="29"/>
  <c r="AF174" i="29"/>
  <c r="AF175" i="29"/>
  <c r="AH165" i="29"/>
  <c r="AH170" i="29"/>
  <c r="AH171" i="29"/>
  <c r="AH166" i="29"/>
  <c r="AH167" i="29"/>
  <c r="AH168" i="29"/>
  <c r="AH169" i="29"/>
  <c r="AH172" i="29"/>
  <c r="AH173" i="29"/>
  <c r="AH176" i="29"/>
  <c r="AH177" i="29"/>
  <c r="AH174" i="29"/>
  <c r="AH175" i="29"/>
  <c r="AJ165" i="29"/>
  <c r="AJ166" i="29"/>
  <c r="AJ167" i="29"/>
  <c r="AJ170" i="29"/>
  <c r="AJ171" i="29"/>
  <c r="AJ172" i="29"/>
  <c r="AJ173" i="29"/>
  <c r="AJ176" i="29"/>
  <c r="AJ177" i="29"/>
  <c r="AJ168" i="29"/>
  <c r="AJ169" i="29"/>
  <c r="AJ174" i="29"/>
  <c r="AJ175" i="29"/>
  <c r="AL165" i="29"/>
  <c r="AL170" i="29"/>
  <c r="AL171" i="29"/>
  <c r="AL168" i="29"/>
  <c r="AL169" i="29"/>
  <c r="AL167" i="29"/>
  <c r="AL172" i="29"/>
  <c r="AL173" i="29"/>
  <c r="AL176" i="29"/>
  <c r="AL177" i="29"/>
  <c r="AL166" i="29"/>
  <c r="AL174" i="29"/>
  <c r="AL175" i="29"/>
  <c r="AN165" i="29"/>
  <c r="AN166" i="29"/>
  <c r="AN167" i="29"/>
  <c r="AN170" i="29"/>
  <c r="AN171" i="29"/>
  <c r="AN168" i="29"/>
  <c r="AN169" i="29"/>
  <c r="AN172" i="29"/>
  <c r="AN173" i="29"/>
  <c r="AN176" i="29"/>
  <c r="AN177" i="29"/>
  <c r="AN174" i="29"/>
  <c r="AN175" i="29"/>
  <c r="AP165" i="29"/>
  <c r="AP170" i="29"/>
  <c r="AP171" i="29"/>
  <c r="AP166" i="29"/>
  <c r="AP167" i="29"/>
  <c r="AP168" i="29"/>
  <c r="AP169" i="29"/>
  <c r="AP172" i="29"/>
  <c r="AP173" i="29"/>
  <c r="AP176" i="29"/>
  <c r="AP177" i="29"/>
  <c r="AP174" i="29"/>
  <c r="AP175" i="29"/>
  <c r="AR165" i="29"/>
  <c r="AR166" i="29"/>
  <c r="AR167" i="29"/>
  <c r="AR170" i="29"/>
  <c r="AR171" i="29"/>
  <c r="AR172" i="29"/>
  <c r="AR173" i="29"/>
  <c r="AR176" i="29"/>
  <c r="AR177" i="29"/>
  <c r="AR168" i="29"/>
  <c r="AR169" i="29"/>
  <c r="AR174" i="29"/>
  <c r="AR175" i="29"/>
  <c r="AT165" i="29"/>
  <c r="AT170" i="29"/>
  <c r="AT171" i="29"/>
  <c r="AT168" i="29"/>
  <c r="AT169" i="29"/>
  <c r="AT166" i="29"/>
  <c r="AT172" i="29"/>
  <c r="AT173" i="29"/>
  <c r="AT176" i="29"/>
  <c r="AT177" i="29"/>
  <c r="AT167" i="29"/>
  <c r="AT174" i="29"/>
  <c r="AT175" i="29"/>
  <c r="AV165" i="29"/>
  <c r="AV166" i="29"/>
  <c r="AV167" i="29"/>
  <c r="AV170" i="29"/>
  <c r="AV171" i="29"/>
  <c r="AV168" i="29"/>
  <c r="AV169" i="29"/>
  <c r="AV172" i="29"/>
  <c r="AV173" i="29"/>
  <c r="AV176" i="29"/>
  <c r="AV177" i="29"/>
  <c r="AV174" i="29"/>
  <c r="AV175" i="29"/>
  <c r="AX165" i="29"/>
  <c r="AX170" i="29"/>
  <c r="AX171" i="29"/>
  <c r="AX166" i="29"/>
  <c r="AX167" i="29"/>
  <c r="AX168" i="29"/>
  <c r="AX169" i="29"/>
  <c r="AX172" i="29"/>
  <c r="AX173" i="29"/>
  <c r="AX176" i="29"/>
  <c r="AX177" i="29"/>
  <c r="AX174" i="29"/>
  <c r="AX175" i="29"/>
  <c r="AZ165" i="29"/>
  <c r="AZ166" i="29"/>
  <c r="AZ167" i="29"/>
  <c r="AZ170" i="29"/>
  <c r="AZ171" i="29"/>
  <c r="AZ172" i="29"/>
  <c r="AZ173" i="29"/>
  <c r="AZ176" i="29"/>
  <c r="AZ177" i="29"/>
  <c r="AZ168" i="29"/>
  <c r="AZ169" i="29"/>
  <c r="AZ174" i="29"/>
  <c r="AZ175" i="29"/>
  <c r="BC165" i="29"/>
  <c r="BC166" i="29"/>
  <c r="BC167" i="29"/>
  <c r="BC170" i="29"/>
  <c r="BC171" i="29"/>
  <c r="BC168" i="29"/>
  <c r="BC169" i="29"/>
  <c r="BC172" i="29"/>
  <c r="BC173" i="29"/>
  <c r="BC176" i="29"/>
  <c r="BC177" i="29"/>
  <c r="BC174" i="29"/>
  <c r="BC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9" i="40"/>
  <c r="AH4" i="39"/>
  <c r="AH3" i="38"/>
  <c r="AH10" i="38" s="1"/>
  <c r="AH12" i="38" s="1"/>
  <c r="AH35" i="40" s="1"/>
  <c r="AH3" i="37"/>
  <c r="AH3" i="36"/>
  <c r="AH3" i="35"/>
  <c r="AJ9" i="40"/>
  <c r="AJ4" i="39"/>
  <c r="AJ3" i="38"/>
  <c r="AJ10" i="38" s="1"/>
  <c r="AJ3" i="37"/>
  <c r="AJ3" i="36"/>
  <c r="AJ3" i="35"/>
  <c r="AL9" i="40"/>
  <c r="AL4" i="39"/>
  <c r="AL3" i="38"/>
  <c r="AL10" i="38" s="1"/>
  <c r="AL12" i="38" s="1"/>
  <c r="AL35" i="40" s="1"/>
  <c r="AL3" i="37"/>
  <c r="AL3" i="36"/>
  <c r="AL3" i="35"/>
  <c r="AN9" i="40"/>
  <c r="AN4" i="39"/>
  <c r="AN3" i="38"/>
  <c r="AN10" i="38" s="1"/>
  <c r="AN12" i="38" s="1"/>
  <c r="AN35" i="40" s="1"/>
  <c r="AN3" i="37"/>
  <c r="AN3" i="36"/>
  <c r="AN3" i="35"/>
  <c r="AP9" i="40"/>
  <c r="AP4" i="39"/>
  <c r="AP3" i="38"/>
  <c r="AP10" i="38" s="1"/>
  <c r="AP12" i="38" s="1"/>
  <c r="AP35" i="40" s="1"/>
  <c r="AP3" i="37"/>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9" i="40"/>
  <c r="AX4" i="39"/>
  <c r="AX3" i="38"/>
  <c r="AX10" i="38" s="1"/>
  <c r="AX12" i="38" s="1"/>
  <c r="AX35" i="40" s="1"/>
  <c r="AX3" i="37"/>
  <c r="AX3" i="36"/>
  <c r="AX3" i="35"/>
  <c r="AZ9" i="40"/>
  <c r="AZ4" i="39"/>
  <c r="AZ3" i="38"/>
  <c r="AZ10" i="38" s="1"/>
  <c r="AZ12" i="38" s="1"/>
  <c r="AZ35" i="40" s="1"/>
  <c r="AZ3" i="37"/>
  <c r="AZ3" i="36"/>
  <c r="AZ3" i="35"/>
  <c r="BC9" i="40"/>
  <c r="BC4" i="39"/>
  <c r="BC3" i="38"/>
  <c r="BC10" i="38" s="1"/>
  <c r="BC12" i="38" s="1"/>
  <c r="BC35" i="40" s="1"/>
  <c r="BC3" i="37"/>
  <c r="BC3" i="36"/>
  <c r="BC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3" i="37"/>
  <c r="AG3" i="36"/>
  <c r="AG9" i="40"/>
  <c r="AG4" i="39"/>
  <c r="AG3" i="38"/>
  <c r="AG10" i="38" s="1"/>
  <c r="AG12" i="38" s="1"/>
  <c r="AG35" i="40" s="1"/>
  <c r="AG3" i="35"/>
  <c r="AI9" i="40"/>
  <c r="AI4" i="39"/>
  <c r="AI3" i="38"/>
  <c r="AI10" i="38" s="1"/>
  <c r="AI12" i="38" s="1"/>
  <c r="AI35" i="40" s="1"/>
  <c r="AI3" i="37"/>
  <c r="AI3" i="36"/>
  <c r="AI3" i="35"/>
  <c r="AK9" i="40"/>
  <c r="AK4" i="39"/>
  <c r="AK3" i="38"/>
  <c r="AK10" i="38" s="1"/>
  <c r="AK12" i="38" s="1"/>
  <c r="AK35" i="40" s="1"/>
  <c r="AK3" i="37"/>
  <c r="AK3" i="36"/>
  <c r="AK3" i="35"/>
  <c r="AM9" i="40"/>
  <c r="AM4" i="39"/>
  <c r="AM3" i="38"/>
  <c r="AM10" i="38" s="1"/>
  <c r="AM12" i="38" s="1"/>
  <c r="AM35" i="40" s="1"/>
  <c r="AM3" i="37"/>
  <c r="AM3" i="36"/>
  <c r="AM3" i="35"/>
  <c r="AO3" i="37"/>
  <c r="AO9" i="40"/>
  <c r="AO4" i="39"/>
  <c r="AO3" i="38"/>
  <c r="AO10" i="38" s="1"/>
  <c r="AO12" i="38" s="1"/>
  <c r="AO35" i="40" s="1"/>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3" i="37"/>
  <c r="AW9" i="40"/>
  <c r="AW4" i="39"/>
  <c r="AW3" i="38"/>
  <c r="AW10" i="38" s="1"/>
  <c r="AW12" i="38" s="1"/>
  <c r="AW35" i="40" s="1"/>
  <c r="AW3" i="36"/>
  <c r="AW3" i="35"/>
  <c r="AY9" i="40"/>
  <c r="AY4" i="39"/>
  <c r="AY3" i="38"/>
  <c r="AY10" i="38" s="1"/>
  <c r="AY12" i="38" s="1"/>
  <c r="AY35" i="40" s="1"/>
  <c r="AY3" i="37"/>
  <c r="AY3" i="36"/>
  <c r="AY3" i="35"/>
  <c r="BA9" i="40"/>
  <c r="BA4" i="39"/>
  <c r="BA3" i="38"/>
  <c r="BA10" i="38" s="1"/>
  <c r="BA12" i="38" s="1"/>
  <c r="BA35" i="40" s="1"/>
  <c r="BA3" i="37"/>
  <c r="BA3" i="36"/>
  <c r="BA3" i="35"/>
  <c r="BB9" i="40"/>
  <c r="BB4" i="39"/>
  <c r="BB3" i="38"/>
  <c r="BB10" i="38" s="1"/>
  <c r="BB12" i="38" s="1"/>
  <c r="BB35" i="40" s="1"/>
  <c r="BB3" i="37"/>
  <c r="BB3" i="36"/>
  <c r="BB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B155" i="29"/>
  <c r="AB156" i="29"/>
  <c r="AB149" i="29"/>
  <c r="AB147" i="29"/>
  <c r="AB145" i="29"/>
  <c r="AB143" i="29"/>
  <c r="AB139" i="29"/>
  <c r="AB137" i="29"/>
  <c r="AB134" i="29"/>
  <c r="AB130" i="29"/>
  <c r="AB129" i="29" s="1"/>
  <c r="AB126" i="29"/>
  <c r="AB124" i="29"/>
  <c r="AB148" i="29"/>
  <c r="AB144" i="29"/>
  <c r="AB138" i="29"/>
  <c r="AB135" i="29"/>
  <c r="AB127" i="29"/>
  <c r="AB120" i="29"/>
  <c r="AB116" i="29"/>
  <c r="AB114" i="29"/>
  <c r="AB112" i="29"/>
  <c r="AB110" i="29"/>
  <c r="AB108" i="29"/>
  <c r="AB104" i="29"/>
  <c r="AB102" i="29"/>
  <c r="AB98" i="29"/>
  <c r="AB96" i="29"/>
  <c r="AB94" i="29"/>
  <c r="AB92" i="29"/>
  <c r="AB90" i="29"/>
  <c r="AB86" i="29"/>
  <c r="AB84" i="29"/>
  <c r="AB80" i="29"/>
  <c r="AB78" i="29"/>
  <c r="AB72" i="29"/>
  <c r="AB70" i="29"/>
  <c r="AB142" i="29"/>
  <c r="AB125" i="29"/>
  <c r="AB119" i="29"/>
  <c r="AB113" i="29"/>
  <c r="AB109" i="29"/>
  <c r="AB103" i="29"/>
  <c r="AB97" i="29"/>
  <c r="AB93" i="29"/>
  <c r="AB87" i="29"/>
  <c r="AB81" i="29"/>
  <c r="AB73" i="29"/>
  <c r="AB69" i="29"/>
  <c r="AB67" i="29"/>
  <c r="AB63" i="29"/>
  <c r="AB61" i="29"/>
  <c r="AB59" i="29"/>
  <c r="AB55" i="29"/>
  <c r="AB54" i="29" s="1"/>
  <c r="AB51" i="29"/>
  <c r="AB49" i="29"/>
  <c r="AB47" i="29"/>
  <c r="AB45" i="29"/>
  <c r="AB41" i="29"/>
  <c r="AB37" i="29"/>
  <c r="AB35" i="29"/>
  <c r="AB33" i="29"/>
  <c r="AB29" i="29"/>
  <c r="AB25" i="29"/>
  <c r="AB23" i="29"/>
  <c r="AB21" i="29"/>
  <c r="AB19" i="29"/>
  <c r="AB17" i="29"/>
  <c r="AB13" i="29"/>
  <c r="AB11" i="29"/>
  <c r="AB9" i="29"/>
  <c r="AB7" i="29"/>
  <c r="AB146" i="29"/>
  <c r="AB136" i="29"/>
  <c r="AB133" i="29"/>
  <c r="AB123" i="29"/>
  <c r="AB115" i="29"/>
  <c r="AB111" i="29"/>
  <c r="AB107" i="29"/>
  <c r="AB95" i="29"/>
  <c r="AB85" i="29"/>
  <c r="AB71" i="29"/>
  <c r="AB66" i="29"/>
  <c r="AB60" i="29"/>
  <c r="AB52" i="29"/>
  <c r="AB48" i="29"/>
  <c r="AB42" i="29"/>
  <c r="AB36" i="29"/>
  <c r="AB30" i="29"/>
  <c r="AB24" i="29"/>
  <c r="AB20" i="29"/>
  <c r="AB14" i="29"/>
  <c r="AB10" i="29"/>
  <c r="AB101" i="29"/>
  <c r="AB91" i="29"/>
  <c r="AB79" i="29"/>
  <c r="AB68" i="29"/>
  <c r="AB62" i="29"/>
  <c r="AB58" i="29"/>
  <c r="AB50" i="29"/>
  <c r="AB46" i="29"/>
  <c r="AB38" i="29"/>
  <c r="AB34" i="29"/>
  <c r="AB26" i="29"/>
  <c r="AB22" i="29"/>
  <c r="AB18" i="29"/>
  <c r="AB12" i="29"/>
  <c r="AB8" i="29"/>
  <c r="AD155" i="29"/>
  <c r="AD147" i="29"/>
  <c r="AD145" i="29"/>
  <c r="AD143" i="29"/>
  <c r="AD139" i="29"/>
  <c r="AD137" i="29"/>
  <c r="AD134" i="29"/>
  <c r="AD130" i="29"/>
  <c r="AD129" i="29" s="1"/>
  <c r="AD126" i="29"/>
  <c r="AD124" i="29"/>
  <c r="AD156" i="29"/>
  <c r="AD154" i="29" s="1"/>
  <c r="E30" i="79" s="1"/>
  <c r="AD146" i="29"/>
  <c r="AD142" i="29"/>
  <c r="AD136" i="29"/>
  <c r="AD133" i="29"/>
  <c r="AD125" i="29"/>
  <c r="AD120" i="29"/>
  <c r="AD116" i="29"/>
  <c r="AD114" i="29"/>
  <c r="AD112" i="29"/>
  <c r="AD110" i="29"/>
  <c r="AD108" i="29"/>
  <c r="AD104" i="29"/>
  <c r="AD102" i="29"/>
  <c r="AD98" i="29"/>
  <c r="AD96" i="29"/>
  <c r="AD94" i="29"/>
  <c r="AD92" i="29"/>
  <c r="AD90" i="29"/>
  <c r="AD86" i="29"/>
  <c r="AD84" i="29"/>
  <c r="AD80" i="29"/>
  <c r="AD78" i="29"/>
  <c r="AD72" i="29"/>
  <c r="AD70" i="29"/>
  <c r="AD144" i="29"/>
  <c r="AD127" i="29"/>
  <c r="AD123" i="29"/>
  <c r="AD115" i="29"/>
  <c r="AD111" i="29"/>
  <c r="AD107" i="29"/>
  <c r="AD101" i="29"/>
  <c r="AD95" i="29"/>
  <c r="AD91" i="29"/>
  <c r="AD85" i="29"/>
  <c r="AD79" i="29"/>
  <c r="AD71" i="29"/>
  <c r="AD67" i="29"/>
  <c r="AD63" i="29"/>
  <c r="AD61" i="29"/>
  <c r="AD59" i="29"/>
  <c r="AD55" i="29"/>
  <c r="AD54" i="29" s="1"/>
  <c r="AD51" i="29"/>
  <c r="AD49" i="29"/>
  <c r="AD47" i="29"/>
  <c r="AD45" i="29"/>
  <c r="AD41" i="29"/>
  <c r="AD37" i="29"/>
  <c r="AD35" i="29"/>
  <c r="AD33" i="29"/>
  <c r="AD29" i="29"/>
  <c r="AD25" i="29"/>
  <c r="AD23" i="29"/>
  <c r="AD21" i="29"/>
  <c r="AD19" i="29"/>
  <c r="AD17" i="29"/>
  <c r="AD13" i="29"/>
  <c r="AD11" i="29"/>
  <c r="AD9" i="29"/>
  <c r="AD7" i="29"/>
  <c r="AD149" i="29"/>
  <c r="AD148" i="29"/>
  <c r="AD138" i="29"/>
  <c r="AD135" i="29"/>
  <c r="AD119" i="29"/>
  <c r="AD118" i="29" s="1"/>
  <c r="AD113" i="29"/>
  <c r="AD109" i="29"/>
  <c r="AD97" i="29"/>
  <c r="AD87" i="29"/>
  <c r="AD73" i="29"/>
  <c r="AD68" i="29"/>
  <c r="AD62" i="29"/>
  <c r="AD58" i="29"/>
  <c r="AD50" i="29"/>
  <c r="AD46" i="29"/>
  <c r="AD38" i="29"/>
  <c r="AD34" i="29"/>
  <c r="AD26" i="29"/>
  <c r="AD22" i="29"/>
  <c r="AD18" i="29"/>
  <c r="AD12" i="29"/>
  <c r="AD8" i="29"/>
  <c r="AD103" i="29"/>
  <c r="AD93" i="29"/>
  <c r="AD81" i="29"/>
  <c r="AD69" i="29"/>
  <c r="AD66" i="29"/>
  <c r="AD60" i="29"/>
  <c r="AD52" i="29"/>
  <c r="AD48" i="29"/>
  <c r="AD42" i="29"/>
  <c r="AD36" i="29"/>
  <c r="AD30" i="29"/>
  <c r="AD24" i="29"/>
  <c r="AD20" i="29"/>
  <c r="AD14" i="29"/>
  <c r="AD10" i="29"/>
  <c r="AF155" i="29"/>
  <c r="AF156" i="29"/>
  <c r="AF149" i="29"/>
  <c r="AF147" i="29"/>
  <c r="AF145" i="29"/>
  <c r="AF143" i="29"/>
  <c r="AF139" i="29"/>
  <c r="AF137" i="29"/>
  <c r="AF134" i="29"/>
  <c r="AF130" i="29"/>
  <c r="AF129" i="29" s="1"/>
  <c r="AF126" i="29"/>
  <c r="AF124" i="29"/>
  <c r="AF148" i="29"/>
  <c r="AF144" i="29"/>
  <c r="AF138" i="29"/>
  <c r="AF135" i="29"/>
  <c r="AF127" i="29"/>
  <c r="AF120" i="29"/>
  <c r="AF116" i="29"/>
  <c r="AF114" i="29"/>
  <c r="AF112" i="29"/>
  <c r="AF110" i="29"/>
  <c r="AF108" i="29"/>
  <c r="AF104" i="29"/>
  <c r="AF102" i="29"/>
  <c r="AF98" i="29"/>
  <c r="AF96" i="29"/>
  <c r="AF94" i="29"/>
  <c r="AF92" i="29"/>
  <c r="AF90" i="29"/>
  <c r="AF86" i="29"/>
  <c r="AF84" i="29"/>
  <c r="AF80" i="29"/>
  <c r="AF78" i="29"/>
  <c r="AF72" i="29"/>
  <c r="AF70" i="29"/>
  <c r="AF146" i="29"/>
  <c r="AF136" i="29"/>
  <c r="AF133" i="29"/>
  <c r="AF119" i="29"/>
  <c r="AF118" i="29" s="1"/>
  <c r="AF113" i="29"/>
  <c r="AF109" i="29"/>
  <c r="AF103" i="29"/>
  <c r="AF97" i="29"/>
  <c r="AF93" i="29"/>
  <c r="AF87" i="29"/>
  <c r="AF81" i="29"/>
  <c r="AF73" i="29"/>
  <c r="AF69" i="29"/>
  <c r="AF67" i="29"/>
  <c r="AF63" i="29"/>
  <c r="AF61" i="29"/>
  <c r="AF59" i="29"/>
  <c r="AF55" i="29"/>
  <c r="AF54" i="29" s="1"/>
  <c r="AF51" i="29"/>
  <c r="AF49" i="29"/>
  <c r="AF47" i="29"/>
  <c r="AF45" i="29"/>
  <c r="AF41" i="29"/>
  <c r="AF37" i="29"/>
  <c r="AF35" i="29"/>
  <c r="AF33" i="29"/>
  <c r="AF29" i="29"/>
  <c r="AF25" i="29"/>
  <c r="AF23" i="29"/>
  <c r="AF21" i="29"/>
  <c r="AF19" i="29"/>
  <c r="AF17" i="29"/>
  <c r="AF13" i="29"/>
  <c r="AF11" i="29"/>
  <c r="AF9" i="29"/>
  <c r="AF7" i="29"/>
  <c r="AF142" i="29"/>
  <c r="AF125" i="29"/>
  <c r="AF123" i="29"/>
  <c r="AF115" i="29"/>
  <c r="AF111" i="29"/>
  <c r="AF107" i="29"/>
  <c r="AF101" i="29"/>
  <c r="AF91" i="29"/>
  <c r="AF79" i="29"/>
  <c r="AF66" i="29"/>
  <c r="AF60" i="29"/>
  <c r="AF52" i="29"/>
  <c r="AF48" i="29"/>
  <c r="AF42" i="29"/>
  <c r="AF36" i="29"/>
  <c r="AF30" i="29"/>
  <c r="AF24" i="29"/>
  <c r="AF20" i="29"/>
  <c r="AF14" i="29"/>
  <c r="AF10" i="29"/>
  <c r="AF95" i="29"/>
  <c r="AF85" i="29"/>
  <c r="AF71" i="29"/>
  <c r="AF68" i="29"/>
  <c r="AF62" i="29"/>
  <c r="AF58" i="29"/>
  <c r="AF50" i="29"/>
  <c r="AF46" i="29"/>
  <c r="AF38" i="29"/>
  <c r="AF34" i="29"/>
  <c r="AF26" i="29"/>
  <c r="AF22" i="29"/>
  <c r="AF18" i="29"/>
  <c r="AF12" i="29"/>
  <c r="AF8" i="29"/>
  <c r="AH155" i="29"/>
  <c r="AH147" i="29"/>
  <c r="AH145" i="29"/>
  <c r="AH143" i="29"/>
  <c r="AH139" i="29"/>
  <c r="AH137" i="29"/>
  <c r="AH134" i="29"/>
  <c r="AH130" i="29"/>
  <c r="AH129" i="29" s="1"/>
  <c r="AH126" i="29"/>
  <c r="AH124" i="29"/>
  <c r="AH149" i="29"/>
  <c r="AH146" i="29"/>
  <c r="AH142" i="29"/>
  <c r="AH136" i="29"/>
  <c r="AH133" i="29"/>
  <c r="AH125" i="29"/>
  <c r="AH120" i="29"/>
  <c r="AH116" i="29"/>
  <c r="AH114" i="29"/>
  <c r="AH112" i="29"/>
  <c r="AH110" i="29"/>
  <c r="AH108" i="29"/>
  <c r="AH104" i="29"/>
  <c r="AH102" i="29"/>
  <c r="AH98" i="29"/>
  <c r="AH96" i="29"/>
  <c r="AH94" i="29"/>
  <c r="AH92" i="29"/>
  <c r="AH90" i="29"/>
  <c r="AH86" i="29"/>
  <c r="AH84" i="29"/>
  <c r="AH80" i="29"/>
  <c r="AH78" i="29"/>
  <c r="AH72" i="29"/>
  <c r="AH70" i="29"/>
  <c r="AH148" i="29"/>
  <c r="AH138" i="29"/>
  <c r="AH135" i="29"/>
  <c r="AH123" i="29"/>
  <c r="AH115" i="29"/>
  <c r="AH111" i="29"/>
  <c r="AH107" i="29"/>
  <c r="AH101" i="29"/>
  <c r="AH95" i="29"/>
  <c r="AH91" i="29"/>
  <c r="AH85" i="29"/>
  <c r="AH79" i="29"/>
  <c r="AH71" i="29"/>
  <c r="AH67" i="29"/>
  <c r="AH63" i="29"/>
  <c r="AH61" i="29"/>
  <c r="AH59" i="29"/>
  <c r="AH55" i="29"/>
  <c r="AH54" i="29" s="1"/>
  <c r="AH51" i="29"/>
  <c r="AH49" i="29"/>
  <c r="AH47" i="29"/>
  <c r="AH45" i="29"/>
  <c r="AH41" i="29"/>
  <c r="AH37" i="29"/>
  <c r="AH35" i="29"/>
  <c r="AH33" i="29"/>
  <c r="AH29" i="29"/>
  <c r="AH25" i="29"/>
  <c r="AH23" i="29"/>
  <c r="AH21" i="29"/>
  <c r="AH19" i="29"/>
  <c r="AH17" i="29"/>
  <c r="AH13" i="29"/>
  <c r="AH11" i="29"/>
  <c r="AH9" i="29"/>
  <c r="AH7" i="29"/>
  <c r="AH156" i="29"/>
  <c r="AH144" i="29"/>
  <c r="AH127" i="29"/>
  <c r="AH119" i="29"/>
  <c r="AH118" i="29" s="1"/>
  <c r="AH113" i="29"/>
  <c r="AH109" i="29"/>
  <c r="AH103" i="29"/>
  <c r="AH93" i="29"/>
  <c r="AH81" i="29"/>
  <c r="AH69" i="29"/>
  <c r="AH68" i="29"/>
  <c r="AH62" i="29"/>
  <c r="AH58" i="29"/>
  <c r="AH50" i="29"/>
  <c r="AH46" i="29"/>
  <c r="AH38" i="29"/>
  <c r="AH34" i="29"/>
  <c r="AH26" i="29"/>
  <c r="AH22" i="29"/>
  <c r="AH18" i="29"/>
  <c r="AH12" i="29"/>
  <c r="AH8" i="29"/>
  <c r="AH97" i="29"/>
  <c r="AH87" i="29"/>
  <c r="AH73" i="29"/>
  <c r="AH66" i="29"/>
  <c r="AH60" i="29"/>
  <c r="AH52" i="29"/>
  <c r="AH48" i="29"/>
  <c r="AH42" i="29"/>
  <c r="AH36" i="29"/>
  <c r="AH30" i="29"/>
  <c r="AH24" i="29"/>
  <c r="AH20" i="29"/>
  <c r="AH14" i="29"/>
  <c r="AH10" i="29"/>
  <c r="AJ155" i="29"/>
  <c r="AJ156" i="29"/>
  <c r="AJ149" i="29"/>
  <c r="AJ147" i="29"/>
  <c r="AJ145" i="29"/>
  <c r="AJ143" i="29"/>
  <c r="AJ139" i="29"/>
  <c r="AJ137" i="29"/>
  <c r="AJ134" i="29"/>
  <c r="AJ130" i="29"/>
  <c r="AJ126" i="29"/>
  <c r="AJ124" i="29"/>
  <c r="AJ148" i="29"/>
  <c r="AJ144" i="29"/>
  <c r="AJ138" i="29"/>
  <c r="AJ135" i="29"/>
  <c r="AJ127" i="29"/>
  <c r="AJ120" i="29"/>
  <c r="AJ116" i="29"/>
  <c r="AJ114" i="29"/>
  <c r="AJ112" i="29"/>
  <c r="AJ110" i="29"/>
  <c r="AJ108" i="29"/>
  <c r="AJ104" i="29"/>
  <c r="AJ102" i="29"/>
  <c r="AJ98" i="29"/>
  <c r="AJ96" i="29"/>
  <c r="AJ94" i="29"/>
  <c r="AJ92" i="29"/>
  <c r="AJ90" i="29"/>
  <c r="AJ86" i="29"/>
  <c r="AJ84" i="29"/>
  <c r="AJ80" i="29"/>
  <c r="AJ78" i="29"/>
  <c r="AJ72" i="29"/>
  <c r="AJ70" i="29"/>
  <c r="AJ142" i="29"/>
  <c r="AJ125" i="29"/>
  <c r="AJ119" i="29"/>
  <c r="AJ113" i="29"/>
  <c r="AJ109" i="29"/>
  <c r="AJ103" i="29"/>
  <c r="AJ97" i="29"/>
  <c r="AJ93" i="29"/>
  <c r="AJ87" i="29"/>
  <c r="AJ81" i="29"/>
  <c r="AJ73" i="29"/>
  <c r="AJ69" i="29"/>
  <c r="AJ67" i="29"/>
  <c r="AJ63" i="29"/>
  <c r="AJ61" i="29"/>
  <c r="AJ59" i="29"/>
  <c r="AJ55" i="29"/>
  <c r="AJ51" i="29"/>
  <c r="AJ49" i="29"/>
  <c r="AJ47" i="29"/>
  <c r="AJ45" i="29"/>
  <c r="AJ41" i="29"/>
  <c r="AJ37" i="29"/>
  <c r="AJ35" i="29"/>
  <c r="AJ33" i="29"/>
  <c r="AJ29" i="29"/>
  <c r="AJ25" i="29"/>
  <c r="AJ23" i="29"/>
  <c r="AJ21" i="29"/>
  <c r="AJ19" i="29"/>
  <c r="AJ17" i="29"/>
  <c r="AJ13" i="29"/>
  <c r="AJ11" i="29"/>
  <c r="AJ9" i="29"/>
  <c r="AJ7" i="29"/>
  <c r="AJ146" i="29"/>
  <c r="AJ136" i="29"/>
  <c r="AJ133" i="29"/>
  <c r="AJ123" i="29"/>
  <c r="AJ115" i="29"/>
  <c r="AJ111" i="29"/>
  <c r="AJ107" i="29"/>
  <c r="AJ95" i="29"/>
  <c r="AJ85" i="29"/>
  <c r="AJ71" i="29"/>
  <c r="AJ66" i="29"/>
  <c r="AJ60" i="29"/>
  <c r="AJ52" i="29"/>
  <c r="AJ48" i="29"/>
  <c r="AJ42" i="29"/>
  <c r="AJ36" i="29"/>
  <c r="AJ30" i="29"/>
  <c r="AJ24" i="29"/>
  <c r="AJ20" i="29"/>
  <c r="AJ14" i="29"/>
  <c r="AJ10" i="29"/>
  <c r="AJ101" i="29"/>
  <c r="AJ91" i="29"/>
  <c r="AJ79" i="29"/>
  <c r="AJ68" i="29"/>
  <c r="AJ62" i="29"/>
  <c r="AJ58" i="29"/>
  <c r="AJ50" i="29"/>
  <c r="AJ46" i="29"/>
  <c r="AJ38" i="29"/>
  <c r="AJ34" i="29"/>
  <c r="AJ26" i="29"/>
  <c r="AJ22" i="29"/>
  <c r="AJ18" i="29"/>
  <c r="AJ12" i="29"/>
  <c r="AJ8" i="29"/>
  <c r="AL155" i="29"/>
  <c r="AL147" i="29"/>
  <c r="AL145" i="29"/>
  <c r="AL143" i="29"/>
  <c r="AL139" i="29"/>
  <c r="AL137" i="29"/>
  <c r="AL134" i="29"/>
  <c r="AL130" i="29"/>
  <c r="AL129" i="29" s="1"/>
  <c r="AL126" i="29"/>
  <c r="AL124" i="29"/>
  <c r="AL156" i="29"/>
  <c r="AL154" i="29" s="1"/>
  <c r="E38" i="79" s="1"/>
  <c r="AL146" i="29"/>
  <c r="AL142" i="29"/>
  <c r="AL136" i="29"/>
  <c r="AL133" i="29"/>
  <c r="AL125" i="29"/>
  <c r="AL120" i="29"/>
  <c r="AL116" i="29"/>
  <c r="AL114" i="29"/>
  <c r="AL112" i="29"/>
  <c r="AL110" i="29"/>
  <c r="AL108" i="29"/>
  <c r="AL104" i="29"/>
  <c r="AL102" i="29"/>
  <c r="AL98" i="29"/>
  <c r="AL96" i="29"/>
  <c r="AL94" i="29"/>
  <c r="AL92" i="29"/>
  <c r="AL90" i="29"/>
  <c r="AL86" i="29"/>
  <c r="AL84" i="29"/>
  <c r="AL80" i="29"/>
  <c r="AL78" i="29"/>
  <c r="AL72" i="29"/>
  <c r="AL70" i="29"/>
  <c r="AL149" i="29"/>
  <c r="AL144" i="29"/>
  <c r="AL127" i="29"/>
  <c r="AL123" i="29"/>
  <c r="AL115" i="29"/>
  <c r="AL111" i="29"/>
  <c r="AL107" i="29"/>
  <c r="AL101" i="29"/>
  <c r="AL95" i="29"/>
  <c r="AL91" i="29"/>
  <c r="AL85" i="29"/>
  <c r="AL79" i="29"/>
  <c r="AL71" i="29"/>
  <c r="AL69" i="29"/>
  <c r="AL67" i="29"/>
  <c r="AL63" i="29"/>
  <c r="AL61" i="29"/>
  <c r="AL59" i="29"/>
  <c r="AL55" i="29"/>
  <c r="AL54" i="29" s="1"/>
  <c r="AL51" i="29"/>
  <c r="AL49" i="29"/>
  <c r="AL47" i="29"/>
  <c r="AL45" i="29"/>
  <c r="AL41" i="29"/>
  <c r="AL37" i="29"/>
  <c r="AL35" i="29"/>
  <c r="AL33" i="29"/>
  <c r="AL29" i="29"/>
  <c r="AL25" i="29"/>
  <c r="AL23" i="29"/>
  <c r="AL21" i="29"/>
  <c r="AL19" i="29"/>
  <c r="AL17" i="29"/>
  <c r="AL13" i="29"/>
  <c r="AL11" i="29"/>
  <c r="AL9" i="29"/>
  <c r="AL7" i="29"/>
  <c r="AL148" i="29"/>
  <c r="AL138" i="29"/>
  <c r="AL135" i="29"/>
  <c r="AL119" i="29"/>
  <c r="AL113" i="29"/>
  <c r="AL109" i="29"/>
  <c r="AL97" i="29"/>
  <c r="AL87" i="29"/>
  <c r="AL73" i="29"/>
  <c r="AL68" i="29"/>
  <c r="AL62" i="29"/>
  <c r="AL58" i="29"/>
  <c r="AL50" i="29"/>
  <c r="AL46" i="29"/>
  <c r="AL38" i="29"/>
  <c r="AL34" i="29"/>
  <c r="AL26" i="29"/>
  <c r="AL22" i="29"/>
  <c r="AL18" i="29"/>
  <c r="AL12" i="29"/>
  <c r="AL8" i="29"/>
  <c r="AL103" i="29"/>
  <c r="AL93" i="29"/>
  <c r="AL81" i="29"/>
  <c r="AL66" i="29"/>
  <c r="AL60" i="29"/>
  <c r="AL52" i="29"/>
  <c r="AL48" i="29"/>
  <c r="AL42" i="29"/>
  <c r="AL36" i="29"/>
  <c r="AL30" i="29"/>
  <c r="AL24" i="29"/>
  <c r="AL20" i="29"/>
  <c r="AL14" i="29"/>
  <c r="AL10" i="29"/>
  <c r="AN155" i="29"/>
  <c r="AN156" i="29"/>
  <c r="AN149" i="29"/>
  <c r="AN147" i="29"/>
  <c r="AN145" i="29"/>
  <c r="AN143" i="29"/>
  <c r="AN139" i="29"/>
  <c r="AN137" i="29"/>
  <c r="AN134" i="29"/>
  <c r="AN130" i="29"/>
  <c r="AN129" i="29" s="1"/>
  <c r="AN126" i="29"/>
  <c r="AN124" i="29"/>
  <c r="AN148" i="29"/>
  <c r="AN144" i="29"/>
  <c r="AN138" i="29"/>
  <c r="AN135" i="29"/>
  <c r="AN127" i="29"/>
  <c r="AN120" i="29"/>
  <c r="AN116" i="29"/>
  <c r="AN114" i="29"/>
  <c r="AN112" i="29"/>
  <c r="AN110" i="29"/>
  <c r="AN108" i="29"/>
  <c r="AN104" i="29"/>
  <c r="AN102" i="29"/>
  <c r="AN98" i="29"/>
  <c r="AN96" i="29"/>
  <c r="AN94" i="29"/>
  <c r="AN92" i="29"/>
  <c r="AN90" i="29"/>
  <c r="AN86" i="29"/>
  <c r="AN84" i="29"/>
  <c r="AN80" i="29"/>
  <c r="AN78" i="29"/>
  <c r="AN72" i="29"/>
  <c r="AN70" i="29"/>
  <c r="AN146" i="29"/>
  <c r="AN136" i="29"/>
  <c r="AN133" i="29"/>
  <c r="AN119" i="29"/>
  <c r="AN118" i="29" s="1"/>
  <c r="AN113" i="29"/>
  <c r="AN109" i="29"/>
  <c r="AN103" i="29"/>
  <c r="AN97" i="29"/>
  <c r="AN93" i="29"/>
  <c r="AN87" i="29"/>
  <c r="AN81" i="29"/>
  <c r="AN73" i="29"/>
  <c r="AN69" i="29"/>
  <c r="AN67" i="29"/>
  <c r="AN63" i="29"/>
  <c r="AN61" i="29"/>
  <c r="AN59" i="29"/>
  <c r="AN55" i="29"/>
  <c r="AN54" i="29" s="1"/>
  <c r="AN51" i="29"/>
  <c r="AN49" i="29"/>
  <c r="AN47" i="29"/>
  <c r="AN45" i="29"/>
  <c r="AN41" i="29"/>
  <c r="AN37" i="29"/>
  <c r="AN35" i="29"/>
  <c r="AN33" i="29"/>
  <c r="AN29" i="29"/>
  <c r="AN25" i="29"/>
  <c r="AN23" i="29"/>
  <c r="AN21" i="29"/>
  <c r="AN19" i="29"/>
  <c r="AN17" i="29"/>
  <c r="AN13" i="29"/>
  <c r="AN11" i="29"/>
  <c r="AN9" i="29"/>
  <c r="AN7" i="29"/>
  <c r="AN142" i="29"/>
  <c r="AN125" i="29"/>
  <c r="AN123" i="29"/>
  <c r="AN115" i="29"/>
  <c r="AN111" i="29"/>
  <c r="AN107" i="29"/>
  <c r="AN101" i="29"/>
  <c r="AN91" i="29"/>
  <c r="AN79" i="29"/>
  <c r="AN66" i="29"/>
  <c r="AN60" i="29"/>
  <c r="AN52" i="29"/>
  <c r="AN48" i="29"/>
  <c r="AN42" i="29"/>
  <c r="AN36" i="29"/>
  <c r="AN30" i="29"/>
  <c r="AN24" i="29"/>
  <c r="AN20" i="29"/>
  <c r="AN14" i="29"/>
  <c r="AN10" i="29"/>
  <c r="AN95" i="29"/>
  <c r="AN85" i="29"/>
  <c r="AN71" i="29"/>
  <c r="AN68" i="29"/>
  <c r="AN62" i="29"/>
  <c r="AN58" i="29"/>
  <c r="AN50" i="29"/>
  <c r="AN46" i="29"/>
  <c r="AN38" i="29"/>
  <c r="AN34" i="29"/>
  <c r="AN26" i="29"/>
  <c r="AN22" i="29"/>
  <c r="AN18" i="29"/>
  <c r="AN12" i="29"/>
  <c r="AN8" i="29"/>
  <c r="AP155" i="29"/>
  <c r="AP149" i="29"/>
  <c r="AP147" i="29"/>
  <c r="AP145" i="29"/>
  <c r="AP143" i="29"/>
  <c r="AP139" i="29"/>
  <c r="AP137" i="29"/>
  <c r="AP134" i="29"/>
  <c r="AP130" i="29"/>
  <c r="AP129" i="29" s="1"/>
  <c r="AP126" i="29"/>
  <c r="AP124" i="29"/>
  <c r="AP146" i="29"/>
  <c r="AP142" i="29"/>
  <c r="AP136" i="29"/>
  <c r="AP133" i="29"/>
  <c r="AP125" i="29"/>
  <c r="AP120" i="29"/>
  <c r="AP116" i="29"/>
  <c r="AP114" i="29"/>
  <c r="AP112" i="29"/>
  <c r="AP110" i="29"/>
  <c r="AP108" i="29"/>
  <c r="AP104" i="29"/>
  <c r="AP102" i="29"/>
  <c r="AP98" i="29"/>
  <c r="AP96" i="29"/>
  <c r="AP94" i="29"/>
  <c r="AP92" i="29"/>
  <c r="AP90" i="29"/>
  <c r="AP86" i="29"/>
  <c r="AP84" i="29"/>
  <c r="AP80" i="29"/>
  <c r="AP78" i="29"/>
  <c r="AP72" i="29"/>
  <c r="AP70" i="29"/>
  <c r="AP156" i="29"/>
  <c r="AP148" i="29"/>
  <c r="AP138" i="29"/>
  <c r="AP135" i="29"/>
  <c r="AP123" i="29"/>
  <c r="AP115" i="29"/>
  <c r="AP111" i="29"/>
  <c r="AP107" i="29"/>
  <c r="AP101" i="29"/>
  <c r="AP95" i="29"/>
  <c r="AP91" i="29"/>
  <c r="AP85" i="29"/>
  <c r="AP79" i="29"/>
  <c r="AP71" i="29"/>
  <c r="AP69" i="29"/>
  <c r="AP67" i="29"/>
  <c r="AP63" i="29"/>
  <c r="AP61" i="29"/>
  <c r="AP59" i="29"/>
  <c r="AP55" i="29"/>
  <c r="AP54" i="29" s="1"/>
  <c r="AP51" i="29"/>
  <c r="AP49" i="29"/>
  <c r="AP47" i="29"/>
  <c r="AP45" i="29"/>
  <c r="AP41" i="29"/>
  <c r="AP37" i="29"/>
  <c r="AP35" i="29"/>
  <c r="AP33" i="29"/>
  <c r="AP29" i="29"/>
  <c r="AP25" i="29"/>
  <c r="AP23" i="29"/>
  <c r="AP21" i="29"/>
  <c r="AP19" i="29"/>
  <c r="AP17" i="29"/>
  <c r="AP13" i="29"/>
  <c r="AP11" i="29"/>
  <c r="AP9" i="29"/>
  <c r="AP7" i="29"/>
  <c r="AP144" i="29"/>
  <c r="AP127" i="29"/>
  <c r="AP119" i="29"/>
  <c r="AP113" i="29"/>
  <c r="AP109" i="29"/>
  <c r="AP103" i="29"/>
  <c r="AP93" i="29"/>
  <c r="AP81" i="29"/>
  <c r="AP68" i="29"/>
  <c r="AP62" i="29"/>
  <c r="AP58" i="29"/>
  <c r="AP50" i="29"/>
  <c r="AP46" i="29"/>
  <c r="AP38" i="29"/>
  <c r="AP34" i="29"/>
  <c r="AP26" i="29"/>
  <c r="AP22" i="29"/>
  <c r="AP18" i="29"/>
  <c r="AP12" i="29"/>
  <c r="AP8" i="29"/>
  <c r="AP97" i="29"/>
  <c r="AP87" i="29"/>
  <c r="AP73" i="29"/>
  <c r="AP66" i="29"/>
  <c r="AP60" i="29"/>
  <c r="AP52" i="29"/>
  <c r="AP48" i="29"/>
  <c r="AP42" i="29"/>
  <c r="AP36" i="29"/>
  <c r="AP30" i="29"/>
  <c r="AP24" i="29"/>
  <c r="AP20" i="29"/>
  <c r="AP14" i="29"/>
  <c r="AP10" i="29"/>
  <c r="AR155" i="29"/>
  <c r="AR156" i="29"/>
  <c r="AR149" i="29"/>
  <c r="AR147" i="29"/>
  <c r="AR145" i="29"/>
  <c r="AR143" i="29"/>
  <c r="AR139" i="29"/>
  <c r="AR137" i="29"/>
  <c r="AR134" i="29"/>
  <c r="AR130" i="29"/>
  <c r="AR129" i="29" s="1"/>
  <c r="AR126" i="29"/>
  <c r="AR124" i="29"/>
  <c r="AR148" i="29"/>
  <c r="AR144" i="29"/>
  <c r="AR138" i="29"/>
  <c r="AR135" i="29"/>
  <c r="AR127" i="29"/>
  <c r="AR120" i="29"/>
  <c r="AR116" i="29"/>
  <c r="AR114" i="29"/>
  <c r="AR112" i="29"/>
  <c r="AR110" i="29"/>
  <c r="AR108" i="29"/>
  <c r="AR104" i="29"/>
  <c r="AR102" i="29"/>
  <c r="AR98" i="29"/>
  <c r="AR96" i="29"/>
  <c r="AR94" i="29"/>
  <c r="AR92" i="29"/>
  <c r="AR90" i="29"/>
  <c r="AR86" i="29"/>
  <c r="AR84" i="29"/>
  <c r="AR80" i="29"/>
  <c r="AR78" i="29"/>
  <c r="AR72" i="29"/>
  <c r="AR70" i="29"/>
  <c r="AR142" i="29"/>
  <c r="AR125" i="29"/>
  <c r="AR119" i="29"/>
  <c r="AR113" i="29"/>
  <c r="AR109" i="29"/>
  <c r="AR103" i="29"/>
  <c r="AR97" i="29"/>
  <c r="AR93" i="29"/>
  <c r="AR87" i="29"/>
  <c r="AR81" i="29"/>
  <c r="AR73" i="29"/>
  <c r="AR69" i="29"/>
  <c r="AR67" i="29"/>
  <c r="AR63" i="29"/>
  <c r="AR61" i="29"/>
  <c r="AR59" i="29"/>
  <c r="AR55" i="29"/>
  <c r="AR54" i="29" s="1"/>
  <c r="AR51" i="29"/>
  <c r="AR49" i="29"/>
  <c r="AR47" i="29"/>
  <c r="AR45" i="29"/>
  <c r="AR41" i="29"/>
  <c r="AR37" i="29"/>
  <c r="AR35" i="29"/>
  <c r="AR33" i="29"/>
  <c r="AR29" i="29"/>
  <c r="AR25" i="29"/>
  <c r="AR23" i="29"/>
  <c r="AR21" i="29"/>
  <c r="AR19" i="29"/>
  <c r="AR17" i="29"/>
  <c r="AR13" i="29"/>
  <c r="AR11" i="29"/>
  <c r="AR9" i="29"/>
  <c r="AR7" i="29"/>
  <c r="AR146" i="29"/>
  <c r="AR136" i="29"/>
  <c r="AR133" i="29"/>
  <c r="AR123" i="29"/>
  <c r="AR115" i="29"/>
  <c r="AR111" i="29"/>
  <c r="AR107" i="29"/>
  <c r="AR95" i="29"/>
  <c r="AR85" i="29"/>
  <c r="AR71" i="29"/>
  <c r="AR66" i="29"/>
  <c r="AR60" i="29"/>
  <c r="AR52" i="29"/>
  <c r="AR48" i="29"/>
  <c r="AR42" i="29"/>
  <c r="AR36" i="29"/>
  <c r="AR30" i="29"/>
  <c r="AR24" i="29"/>
  <c r="AR20" i="29"/>
  <c r="AR14" i="29"/>
  <c r="AR10" i="29"/>
  <c r="AR101" i="29"/>
  <c r="AR91" i="29"/>
  <c r="AR79" i="29"/>
  <c r="AR68" i="29"/>
  <c r="AR62" i="29"/>
  <c r="AR58" i="29"/>
  <c r="AR50" i="29"/>
  <c r="AR46" i="29"/>
  <c r="AR38" i="29"/>
  <c r="AR34" i="29"/>
  <c r="AR26" i="29"/>
  <c r="AR22" i="29"/>
  <c r="AR18" i="29"/>
  <c r="AR12" i="29"/>
  <c r="AR8" i="29"/>
  <c r="AT155" i="29"/>
  <c r="AT149" i="29"/>
  <c r="AT147" i="29"/>
  <c r="AT145" i="29"/>
  <c r="AT143" i="29"/>
  <c r="AT139" i="29"/>
  <c r="AT137" i="29"/>
  <c r="AT134" i="29"/>
  <c r="AT130" i="29"/>
  <c r="AT129" i="29" s="1"/>
  <c r="AT126" i="29"/>
  <c r="AT124" i="29"/>
  <c r="AT156" i="29"/>
  <c r="AT146" i="29"/>
  <c r="AT142" i="29"/>
  <c r="AT136" i="29"/>
  <c r="AT133" i="29"/>
  <c r="AT125" i="29"/>
  <c r="AT120" i="29"/>
  <c r="AT116" i="29"/>
  <c r="AT114" i="29"/>
  <c r="AT112" i="29"/>
  <c r="AT110" i="29"/>
  <c r="AT108" i="29"/>
  <c r="AT104" i="29"/>
  <c r="AT102" i="29"/>
  <c r="AT98" i="29"/>
  <c r="AT96" i="29"/>
  <c r="AT94" i="29"/>
  <c r="AT92" i="29"/>
  <c r="AT90" i="29"/>
  <c r="AT86" i="29"/>
  <c r="AT84" i="29"/>
  <c r="AT80" i="29"/>
  <c r="AT78" i="29"/>
  <c r="AT72" i="29"/>
  <c r="AT70" i="29"/>
  <c r="AT144" i="29"/>
  <c r="AT127" i="29"/>
  <c r="AT123" i="29"/>
  <c r="AT115" i="29"/>
  <c r="AT111" i="29"/>
  <c r="AT107" i="29"/>
  <c r="AT101" i="29"/>
  <c r="AT95" i="29"/>
  <c r="AT91" i="29"/>
  <c r="AT85" i="29"/>
  <c r="AT79" i="29"/>
  <c r="AT71" i="29"/>
  <c r="AT69" i="29"/>
  <c r="AT67" i="29"/>
  <c r="AT63" i="29"/>
  <c r="AT61" i="29"/>
  <c r="AT59" i="29"/>
  <c r="AT55" i="29"/>
  <c r="AT54" i="29" s="1"/>
  <c r="AT51" i="29"/>
  <c r="AT49" i="29"/>
  <c r="AT47" i="29"/>
  <c r="AT45" i="29"/>
  <c r="AT41" i="29"/>
  <c r="AT37" i="29"/>
  <c r="AT35" i="29"/>
  <c r="AT33" i="29"/>
  <c r="AT29" i="29"/>
  <c r="AT25" i="29"/>
  <c r="AT23" i="29"/>
  <c r="AT21" i="29"/>
  <c r="AT19" i="29"/>
  <c r="AT17" i="29"/>
  <c r="AT13" i="29"/>
  <c r="AT11" i="29"/>
  <c r="AT9" i="29"/>
  <c r="AT7" i="29"/>
  <c r="AT148" i="29"/>
  <c r="AT138" i="29"/>
  <c r="AT135" i="29"/>
  <c r="AT119" i="29"/>
  <c r="AT118" i="29" s="1"/>
  <c r="AT113" i="29"/>
  <c r="AT109" i="29"/>
  <c r="AT97" i="29"/>
  <c r="AT87" i="29"/>
  <c r="AT73" i="29"/>
  <c r="AT68" i="29"/>
  <c r="AT62" i="29"/>
  <c r="AT58" i="29"/>
  <c r="AT50" i="29"/>
  <c r="AT46" i="29"/>
  <c r="AT38" i="29"/>
  <c r="AT34" i="29"/>
  <c r="AT26" i="29"/>
  <c r="AT22" i="29"/>
  <c r="AT18" i="29"/>
  <c r="AT12" i="29"/>
  <c r="AT8" i="29"/>
  <c r="AT103" i="29"/>
  <c r="AT93" i="29"/>
  <c r="AT81" i="29"/>
  <c r="AT66" i="29"/>
  <c r="AT60" i="29"/>
  <c r="AT52" i="29"/>
  <c r="AT48" i="29"/>
  <c r="AT42" i="29"/>
  <c r="AT36" i="29"/>
  <c r="AT30" i="29"/>
  <c r="AT24" i="29"/>
  <c r="AT20" i="29"/>
  <c r="AT14" i="29"/>
  <c r="AT10" i="29"/>
  <c r="AV155" i="29"/>
  <c r="AV156" i="29"/>
  <c r="AV149" i="29"/>
  <c r="AV147" i="29"/>
  <c r="AV145" i="29"/>
  <c r="AV143" i="29"/>
  <c r="AV139" i="29"/>
  <c r="AV137" i="29"/>
  <c r="AV134" i="29"/>
  <c r="AV130" i="29"/>
  <c r="AV129" i="29" s="1"/>
  <c r="AV126" i="29"/>
  <c r="AV124" i="29"/>
  <c r="AV148" i="29"/>
  <c r="AV144" i="29"/>
  <c r="AV138" i="29"/>
  <c r="AV135" i="29"/>
  <c r="AV127" i="29"/>
  <c r="AV120" i="29"/>
  <c r="AV116" i="29"/>
  <c r="AV114" i="29"/>
  <c r="AV112" i="29"/>
  <c r="AV110" i="29"/>
  <c r="AV108" i="29"/>
  <c r="AV104" i="29"/>
  <c r="AV102" i="29"/>
  <c r="AV98" i="29"/>
  <c r="AV96" i="29"/>
  <c r="AV94" i="29"/>
  <c r="AV92" i="29"/>
  <c r="AV90" i="29"/>
  <c r="AV86" i="29"/>
  <c r="AV84" i="29"/>
  <c r="AV80" i="29"/>
  <c r="AV78" i="29"/>
  <c r="AV72" i="29"/>
  <c r="AV70" i="29"/>
  <c r="AV146" i="29"/>
  <c r="AV136" i="29"/>
  <c r="AV133" i="29"/>
  <c r="AV119" i="29"/>
  <c r="AV113" i="29"/>
  <c r="AV109" i="29"/>
  <c r="AV103" i="29"/>
  <c r="AV97" i="29"/>
  <c r="AV93" i="29"/>
  <c r="AV87" i="29"/>
  <c r="AV81" i="29"/>
  <c r="AV73" i="29"/>
  <c r="AV69" i="29"/>
  <c r="AV67" i="29"/>
  <c r="AV63" i="29"/>
  <c r="AV61" i="29"/>
  <c r="AV59" i="29"/>
  <c r="AV55" i="29"/>
  <c r="AV54" i="29" s="1"/>
  <c r="AV51" i="29"/>
  <c r="AV49" i="29"/>
  <c r="AV47" i="29"/>
  <c r="AV45" i="29"/>
  <c r="AV41" i="29"/>
  <c r="AV37" i="29"/>
  <c r="AV35" i="29"/>
  <c r="AV33" i="29"/>
  <c r="AV29" i="29"/>
  <c r="AV25" i="29"/>
  <c r="AV23" i="29"/>
  <c r="AV21" i="29"/>
  <c r="AV19" i="29"/>
  <c r="AV17" i="29"/>
  <c r="AV13" i="29"/>
  <c r="AV11" i="29"/>
  <c r="AV9" i="29"/>
  <c r="AV7" i="29"/>
  <c r="AV142" i="29"/>
  <c r="AV125" i="29"/>
  <c r="AV123" i="29"/>
  <c r="AV115" i="29"/>
  <c r="AV111" i="29"/>
  <c r="AV107" i="29"/>
  <c r="AV101" i="29"/>
  <c r="AV91" i="29"/>
  <c r="AV79" i="29"/>
  <c r="AV66" i="29"/>
  <c r="AV60" i="29"/>
  <c r="AV52" i="29"/>
  <c r="AV48" i="29"/>
  <c r="AV42" i="29"/>
  <c r="AV36" i="29"/>
  <c r="AV30" i="29"/>
  <c r="AV24" i="29"/>
  <c r="AV20" i="29"/>
  <c r="AV14" i="29"/>
  <c r="AV10" i="29"/>
  <c r="AV95" i="29"/>
  <c r="AV85" i="29"/>
  <c r="AV71" i="29"/>
  <c r="AV68" i="29"/>
  <c r="AV62" i="29"/>
  <c r="AV58" i="29"/>
  <c r="AV50" i="29"/>
  <c r="AV46" i="29"/>
  <c r="AV38" i="29"/>
  <c r="AV34" i="29"/>
  <c r="AV26" i="29"/>
  <c r="AV22" i="29"/>
  <c r="AV18" i="29"/>
  <c r="AV12" i="29"/>
  <c r="AV8" i="29"/>
  <c r="AX155" i="29"/>
  <c r="AX149" i="29"/>
  <c r="AX147" i="29"/>
  <c r="AX145" i="29"/>
  <c r="AX143" i="29"/>
  <c r="AX139" i="29"/>
  <c r="AX137" i="29"/>
  <c r="AX134" i="29"/>
  <c r="AX130" i="29"/>
  <c r="AX129" i="29" s="1"/>
  <c r="AX126" i="29"/>
  <c r="AX124" i="29"/>
  <c r="AX146" i="29"/>
  <c r="AX142" i="29"/>
  <c r="AX136" i="29"/>
  <c r="AX133" i="29"/>
  <c r="AX125" i="29"/>
  <c r="AX120" i="29"/>
  <c r="AX116" i="29"/>
  <c r="AX114" i="29"/>
  <c r="AX112" i="29"/>
  <c r="AX110" i="29"/>
  <c r="AX108" i="29"/>
  <c r="AX104" i="29"/>
  <c r="AX102" i="29"/>
  <c r="AX98" i="29"/>
  <c r="AX96" i="29"/>
  <c r="AX94" i="29"/>
  <c r="AX92" i="29"/>
  <c r="AX90" i="29"/>
  <c r="AX86" i="29"/>
  <c r="AX84" i="29"/>
  <c r="AX80" i="29"/>
  <c r="AX78" i="29"/>
  <c r="AX72" i="29"/>
  <c r="AX70" i="29"/>
  <c r="AX148" i="29"/>
  <c r="AX138" i="29"/>
  <c r="AX135" i="29"/>
  <c r="AX123" i="29"/>
  <c r="AX115" i="29"/>
  <c r="AX111" i="29"/>
  <c r="AX107" i="29"/>
  <c r="AX101" i="29"/>
  <c r="AX95" i="29"/>
  <c r="AX91" i="29"/>
  <c r="AX85" i="29"/>
  <c r="AX79" i="29"/>
  <c r="AX71" i="29"/>
  <c r="AX69" i="29"/>
  <c r="AX67" i="29"/>
  <c r="AX63" i="29"/>
  <c r="AX61" i="29"/>
  <c r="AX59" i="29"/>
  <c r="AX55" i="29"/>
  <c r="AX54" i="29" s="1"/>
  <c r="AX51" i="29"/>
  <c r="AX49" i="29"/>
  <c r="AX47" i="29"/>
  <c r="AX45" i="29"/>
  <c r="AX41" i="29"/>
  <c r="AX37" i="29"/>
  <c r="AX35" i="29"/>
  <c r="AX33" i="29"/>
  <c r="AX29" i="29"/>
  <c r="AX25" i="29"/>
  <c r="AX23" i="29"/>
  <c r="AX21" i="29"/>
  <c r="AX19" i="29"/>
  <c r="AX17" i="29"/>
  <c r="AX13" i="29"/>
  <c r="AX11" i="29"/>
  <c r="AX9" i="29"/>
  <c r="AX7" i="29"/>
  <c r="AX156" i="29"/>
  <c r="AX154" i="29" s="1"/>
  <c r="E50" i="79" s="1"/>
  <c r="AX144" i="29"/>
  <c r="AX127" i="29"/>
  <c r="AX119" i="29"/>
  <c r="AX113" i="29"/>
  <c r="AX109" i="29"/>
  <c r="AX103" i="29"/>
  <c r="AX93" i="29"/>
  <c r="AX81" i="29"/>
  <c r="AX68" i="29"/>
  <c r="AX62" i="29"/>
  <c r="AX58" i="29"/>
  <c r="AX50" i="29"/>
  <c r="AX46" i="29"/>
  <c r="AX38" i="29"/>
  <c r="AX34" i="29"/>
  <c r="AX26" i="29"/>
  <c r="AX22" i="29"/>
  <c r="AX18" i="29"/>
  <c r="AX12" i="29"/>
  <c r="AX8" i="29"/>
  <c r="AX97" i="29"/>
  <c r="AX87" i="29"/>
  <c r="AX73" i="29"/>
  <c r="AX66" i="29"/>
  <c r="AX60" i="29"/>
  <c r="AX52" i="29"/>
  <c r="AX48" i="29"/>
  <c r="AX42" i="29"/>
  <c r="AX36" i="29"/>
  <c r="AX30" i="29"/>
  <c r="AX24" i="29"/>
  <c r="AX20" i="29"/>
  <c r="AX14" i="29"/>
  <c r="AX10" i="29"/>
  <c r="AZ155" i="29"/>
  <c r="AZ156" i="29"/>
  <c r="AZ149" i="29"/>
  <c r="AZ147" i="29"/>
  <c r="AZ145" i="29"/>
  <c r="AZ143" i="29"/>
  <c r="AZ139" i="29"/>
  <c r="AZ137" i="29"/>
  <c r="AZ134" i="29"/>
  <c r="AZ130" i="29"/>
  <c r="AZ129" i="29" s="1"/>
  <c r="AZ126" i="29"/>
  <c r="AZ124" i="29"/>
  <c r="AZ148" i="29"/>
  <c r="AZ144" i="29"/>
  <c r="AZ138" i="29"/>
  <c r="AZ135" i="29"/>
  <c r="AZ127" i="29"/>
  <c r="AZ120" i="29"/>
  <c r="AZ116" i="29"/>
  <c r="AZ114" i="29"/>
  <c r="AZ112" i="29"/>
  <c r="AZ110" i="29"/>
  <c r="AZ108" i="29"/>
  <c r="AZ104" i="29"/>
  <c r="AZ102" i="29"/>
  <c r="AZ98" i="29"/>
  <c r="AZ96" i="29"/>
  <c r="AZ94" i="29"/>
  <c r="AZ92" i="29"/>
  <c r="AZ90" i="29"/>
  <c r="AZ86" i="29"/>
  <c r="AZ84" i="29"/>
  <c r="AZ80" i="29"/>
  <c r="AZ78" i="29"/>
  <c r="AZ72" i="29"/>
  <c r="AZ70" i="29"/>
  <c r="AZ142" i="29"/>
  <c r="AZ125" i="29"/>
  <c r="AZ119" i="29"/>
  <c r="AZ113" i="29"/>
  <c r="AZ109" i="29"/>
  <c r="AZ103" i="29"/>
  <c r="AZ97" i="29"/>
  <c r="AZ93" i="29"/>
  <c r="AZ87" i="29"/>
  <c r="AZ81" i="29"/>
  <c r="AZ73" i="29"/>
  <c r="AZ69" i="29"/>
  <c r="AZ67" i="29"/>
  <c r="AZ63" i="29"/>
  <c r="AZ61" i="29"/>
  <c r="AZ59" i="29"/>
  <c r="AZ55" i="29"/>
  <c r="AZ54" i="29" s="1"/>
  <c r="AZ51" i="29"/>
  <c r="AZ49" i="29"/>
  <c r="AZ47" i="29"/>
  <c r="AZ45" i="29"/>
  <c r="AZ41" i="29"/>
  <c r="AZ37" i="29"/>
  <c r="AZ35" i="29"/>
  <c r="AZ33" i="29"/>
  <c r="AZ29" i="29"/>
  <c r="AZ25" i="29"/>
  <c r="AZ23" i="29"/>
  <c r="AZ21" i="29"/>
  <c r="AZ19" i="29"/>
  <c r="AZ17" i="29"/>
  <c r="AZ13" i="29"/>
  <c r="AZ11" i="29"/>
  <c r="AZ9" i="29"/>
  <c r="AZ7" i="29"/>
  <c r="AZ146" i="29"/>
  <c r="AZ136" i="29"/>
  <c r="AZ133" i="29"/>
  <c r="AZ123" i="29"/>
  <c r="AZ115" i="29"/>
  <c r="AZ111" i="29"/>
  <c r="AZ107" i="29"/>
  <c r="AZ95" i="29"/>
  <c r="AZ85" i="29"/>
  <c r="AZ71" i="29"/>
  <c r="AZ66" i="29"/>
  <c r="AZ60" i="29"/>
  <c r="AZ52" i="29"/>
  <c r="AZ48" i="29"/>
  <c r="AZ42" i="29"/>
  <c r="AZ36" i="29"/>
  <c r="AZ30" i="29"/>
  <c r="AZ24" i="29"/>
  <c r="AZ20" i="29"/>
  <c r="AZ14" i="29"/>
  <c r="AZ10" i="29"/>
  <c r="AZ101" i="29"/>
  <c r="AZ91" i="29"/>
  <c r="AZ79" i="29"/>
  <c r="AZ68" i="29"/>
  <c r="AZ62" i="29"/>
  <c r="AZ58" i="29"/>
  <c r="AZ50" i="29"/>
  <c r="AZ46" i="29"/>
  <c r="AZ38" i="29"/>
  <c r="AZ34" i="29"/>
  <c r="AZ26" i="29"/>
  <c r="AZ22" i="29"/>
  <c r="AZ18" i="29"/>
  <c r="AZ12" i="29"/>
  <c r="AZ8" i="29"/>
  <c r="BC155" i="29"/>
  <c r="BC156" i="29"/>
  <c r="BC149" i="29"/>
  <c r="BC147" i="29"/>
  <c r="BC145" i="29"/>
  <c r="BC143" i="29"/>
  <c r="BC139" i="29"/>
  <c r="BC137" i="29"/>
  <c r="BC134" i="29"/>
  <c r="BC130" i="29"/>
  <c r="BC129" i="29" s="1"/>
  <c r="BC126" i="29"/>
  <c r="BC148" i="29"/>
  <c r="BC144" i="29"/>
  <c r="BC138" i="29"/>
  <c r="BC135" i="29"/>
  <c r="BC127" i="29"/>
  <c r="BC124" i="29"/>
  <c r="BC120" i="29"/>
  <c r="BC116" i="29"/>
  <c r="BC114" i="29"/>
  <c r="BC112" i="29"/>
  <c r="BC110" i="29"/>
  <c r="BC108" i="29"/>
  <c r="BC104" i="29"/>
  <c r="BC102" i="29"/>
  <c r="BC98" i="29"/>
  <c r="BC96" i="29"/>
  <c r="BC94" i="29"/>
  <c r="BC92" i="29"/>
  <c r="BC90" i="29"/>
  <c r="BC86" i="29"/>
  <c r="BC84" i="29"/>
  <c r="BC80" i="29"/>
  <c r="BC78" i="29"/>
  <c r="BC72" i="29"/>
  <c r="BC70" i="29"/>
  <c r="BC146" i="29"/>
  <c r="BC136" i="29"/>
  <c r="BC133" i="29"/>
  <c r="BC119" i="29"/>
  <c r="BC118" i="29" s="1"/>
  <c r="BC113" i="29"/>
  <c r="BC109" i="29"/>
  <c r="BC103" i="29"/>
  <c r="BC97" i="29"/>
  <c r="BC93" i="29"/>
  <c r="BC87" i="29"/>
  <c r="BC81" i="29"/>
  <c r="BC73"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2" i="29"/>
  <c r="BC125" i="29"/>
  <c r="BC123" i="29"/>
  <c r="BC115" i="29"/>
  <c r="BC111" i="29"/>
  <c r="BC107" i="29"/>
  <c r="BC101" i="29"/>
  <c r="BC91" i="29"/>
  <c r="BC79" i="29"/>
  <c r="BC66" i="29"/>
  <c r="BC60" i="29"/>
  <c r="BC52" i="29"/>
  <c r="BC48" i="29"/>
  <c r="BC42" i="29"/>
  <c r="BC36" i="29"/>
  <c r="BC30" i="29"/>
  <c r="BC24" i="29"/>
  <c r="BC20" i="29"/>
  <c r="BC14" i="29"/>
  <c r="BC10" i="29"/>
  <c r="BC95" i="29"/>
  <c r="BC85" i="29"/>
  <c r="BC71" i="29"/>
  <c r="BC68" i="29"/>
  <c r="BC62" i="29"/>
  <c r="BC58" i="29"/>
  <c r="BC50" i="29"/>
  <c r="BC46" i="29"/>
  <c r="BC38" i="29"/>
  <c r="BC34" i="29"/>
  <c r="BC26" i="29"/>
  <c r="BC22" i="29"/>
  <c r="BC18" i="29"/>
  <c r="BC12" i="29"/>
  <c r="BC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A156" i="29"/>
  <c r="AA149" i="29"/>
  <c r="AA155" i="29"/>
  <c r="AA148" i="29"/>
  <c r="AA146" i="29"/>
  <c r="AA144" i="29"/>
  <c r="AA142" i="29"/>
  <c r="AA138" i="29"/>
  <c r="AA136" i="29"/>
  <c r="AA135" i="29"/>
  <c r="AA133" i="29"/>
  <c r="AA127" i="29"/>
  <c r="AA125" i="29"/>
  <c r="AA147" i="29"/>
  <c r="AA143" i="29"/>
  <c r="AA137" i="29"/>
  <c r="AA134" i="29"/>
  <c r="AA126" i="29"/>
  <c r="AA123" i="29"/>
  <c r="AA119" i="29"/>
  <c r="AA115" i="29"/>
  <c r="AA113" i="29"/>
  <c r="AA111" i="29"/>
  <c r="AA109" i="29"/>
  <c r="AA107" i="29"/>
  <c r="AA103" i="29"/>
  <c r="AA101" i="29"/>
  <c r="AA97" i="29"/>
  <c r="AA95" i="29"/>
  <c r="AA93" i="29"/>
  <c r="AA91" i="29"/>
  <c r="AA87" i="29"/>
  <c r="AA85" i="29"/>
  <c r="AA81" i="29"/>
  <c r="AA79" i="29"/>
  <c r="AA73" i="29"/>
  <c r="AA71" i="29"/>
  <c r="AA69" i="29"/>
  <c r="AA145" i="29"/>
  <c r="AA130" i="29"/>
  <c r="AA129" i="29" s="1"/>
  <c r="AA116" i="29"/>
  <c r="AA112" i="29"/>
  <c r="AA108" i="29"/>
  <c r="AA102" i="29"/>
  <c r="AA96" i="29"/>
  <c r="AA92" i="29"/>
  <c r="AA86" i="29"/>
  <c r="AA80" i="29"/>
  <c r="AA72" i="29"/>
  <c r="AA68" i="29"/>
  <c r="AA66" i="29"/>
  <c r="AA62" i="29"/>
  <c r="AA60" i="29"/>
  <c r="AA58" i="29"/>
  <c r="AA52" i="29"/>
  <c r="AA50" i="29"/>
  <c r="AA48" i="29"/>
  <c r="AA46" i="29"/>
  <c r="AA42" i="29"/>
  <c r="AA38" i="29"/>
  <c r="AA36" i="29"/>
  <c r="AA34" i="29"/>
  <c r="AA30" i="29"/>
  <c r="AA26" i="29"/>
  <c r="AA24" i="29"/>
  <c r="AA22" i="29"/>
  <c r="AA20" i="29"/>
  <c r="AA18" i="29"/>
  <c r="AA14" i="29"/>
  <c r="AA12" i="29"/>
  <c r="AA10" i="29"/>
  <c r="AA8" i="29"/>
  <c r="AA139" i="29"/>
  <c r="AA124" i="29"/>
  <c r="AA120" i="29"/>
  <c r="AA114" i="29"/>
  <c r="AA110" i="29"/>
  <c r="AA104" i="29"/>
  <c r="AA98" i="29"/>
  <c r="AA90" i="29"/>
  <c r="AA78" i="29"/>
  <c r="AA63" i="29"/>
  <c r="AA59" i="29"/>
  <c r="AA51" i="29"/>
  <c r="AA47" i="29"/>
  <c r="AA41" i="29"/>
  <c r="AA35" i="29"/>
  <c r="AA29" i="29"/>
  <c r="AA23" i="29"/>
  <c r="AA19" i="29"/>
  <c r="AA13" i="29"/>
  <c r="AA9" i="29"/>
  <c r="AA94" i="29"/>
  <c r="AA84" i="29"/>
  <c r="AA70" i="29"/>
  <c r="AA67" i="29"/>
  <c r="AA61" i="29"/>
  <c r="AA55" i="29"/>
  <c r="AA54" i="29" s="1"/>
  <c r="AA49" i="29"/>
  <c r="AA45" i="29"/>
  <c r="AA37" i="29"/>
  <c r="AA33" i="29"/>
  <c r="AA25" i="29"/>
  <c r="AA21" i="29"/>
  <c r="AA17" i="29"/>
  <c r="AA11" i="29"/>
  <c r="AA7" i="29"/>
  <c r="AC156" i="29"/>
  <c r="AC149" i="29"/>
  <c r="AC148" i="29"/>
  <c r="AC146" i="29"/>
  <c r="AC144" i="29"/>
  <c r="AC142" i="29"/>
  <c r="AC138" i="29"/>
  <c r="AC136" i="29"/>
  <c r="AC135" i="29"/>
  <c r="AC133" i="29"/>
  <c r="AC127" i="29"/>
  <c r="AC125" i="29"/>
  <c r="AC145" i="29"/>
  <c r="AC139" i="29"/>
  <c r="AC130" i="29"/>
  <c r="AC129" i="29" s="1"/>
  <c r="AC124" i="29"/>
  <c r="AC123" i="29"/>
  <c r="AC119" i="29"/>
  <c r="AC115" i="29"/>
  <c r="AC113" i="29"/>
  <c r="AC111" i="29"/>
  <c r="AC109" i="29"/>
  <c r="AC107" i="29"/>
  <c r="AC103" i="29"/>
  <c r="AC101" i="29"/>
  <c r="AC97" i="29"/>
  <c r="AC95" i="29"/>
  <c r="AC93" i="29"/>
  <c r="AC91" i="29"/>
  <c r="AC87" i="29"/>
  <c r="AC85" i="29"/>
  <c r="AC81" i="29"/>
  <c r="AC79" i="29"/>
  <c r="AC73" i="29"/>
  <c r="AC71" i="29"/>
  <c r="AC69" i="29"/>
  <c r="AC147" i="29"/>
  <c r="AC137" i="29"/>
  <c r="AC134" i="29"/>
  <c r="AC120" i="29"/>
  <c r="AC114" i="29"/>
  <c r="AC110" i="29"/>
  <c r="AC104" i="29"/>
  <c r="AC98" i="29"/>
  <c r="AC94" i="29"/>
  <c r="AC90" i="29"/>
  <c r="AC84" i="29"/>
  <c r="AC78" i="29"/>
  <c r="AC70" i="29"/>
  <c r="AC68" i="29"/>
  <c r="AC66" i="29"/>
  <c r="AC62" i="29"/>
  <c r="AC60" i="29"/>
  <c r="AC58" i="29"/>
  <c r="AC52" i="29"/>
  <c r="AC50" i="29"/>
  <c r="AC48" i="29"/>
  <c r="AC46" i="29"/>
  <c r="AC42" i="29"/>
  <c r="AC38" i="29"/>
  <c r="AC36" i="29"/>
  <c r="AC34" i="29"/>
  <c r="AC30" i="29"/>
  <c r="AC26" i="29"/>
  <c r="AC24" i="29"/>
  <c r="AC22" i="29"/>
  <c r="AC20" i="29"/>
  <c r="AC18" i="29"/>
  <c r="AC14" i="29"/>
  <c r="AC12" i="29"/>
  <c r="AC10" i="29"/>
  <c r="AC8" i="29"/>
  <c r="AC155" i="29"/>
  <c r="AC143" i="29"/>
  <c r="AC126" i="29"/>
  <c r="AC116" i="29"/>
  <c r="AC112" i="29"/>
  <c r="AC108" i="29"/>
  <c r="AC102" i="29"/>
  <c r="AC92" i="29"/>
  <c r="AC80" i="29"/>
  <c r="AC67" i="29"/>
  <c r="AC61" i="29"/>
  <c r="AC55" i="29"/>
  <c r="AC54" i="29" s="1"/>
  <c r="AC49" i="29"/>
  <c r="AC45" i="29"/>
  <c r="AC37" i="29"/>
  <c r="AC33" i="29"/>
  <c r="AC25" i="29"/>
  <c r="AC21" i="29"/>
  <c r="AC17" i="29"/>
  <c r="AC11" i="29"/>
  <c r="AC7" i="29"/>
  <c r="AC96" i="29"/>
  <c r="AC86" i="29"/>
  <c r="AC72" i="29"/>
  <c r="AC63" i="29"/>
  <c r="AC59" i="29"/>
  <c r="AC51" i="29"/>
  <c r="AC47" i="29"/>
  <c r="AC41" i="29"/>
  <c r="AC35" i="29"/>
  <c r="AC29" i="29"/>
  <c r="AC23" i="29"/>
  <c r="AC19" i="29"/>
  <c r="AC13" i="29"/>
  <c r="AC9" i="29"/>
  <c r="AE156" i="29"/>
  <c r="AE149" i="29"/>
  <c r="AE155" i="29"/>
  <c r="AE148" i="29"/>
  <c r="AE146" i="29"/>
  <c r="AE144" i="29"/>
  <c r="AE142" i="29"/>
  <c r="AE138" i="29"/>
  <c r="AE136" i="29"/>
  <c r="AE135" i="29"/>
  <c r="AE133" i="29"/>
  <c r="AE127" i="29"/>
  <c r="AE125" i="29"/>
  <c r="AE147" i="29"/>
  <c r="AE143" i="29"/>
  <c r="AE137" i="29"/>
  <c r="AE134" i="29"/>
  <c r="AE126" i="29"/>
  <c r="AE123" i="29"/>
  <c r="AE119" i="29"/>
  <c r="AE115" i="29"/>
  <c r="AE113" i="29"/>
  <c r="AE111" i="29"/>
  <c r="AE109" i="29"/>
  <c r="AE107" i="29"/>
  <c r="AE103" i="29"/>
  <c r="AE101" i="29"/>
  <c r="AE97" i="29"/>
  <c r="AE95" i="29"/>
  <c r="AE93" i="29"/>
  <c r="AE91" i="29"/>
  <c r="AE87" i="29"/>
  <c r="AE85" i="29"/>
  <c r="AE81" i="29"/>
  <c r="AE79" i="29"/>
  <c r="AE73" i="29"/>
  <c r="AE71" i="29"/>
  <c r="AE69" i="29"/>
  <c r="AE139" i="29"/>
  <c r="AE124" i="29"/>
  <c r="AE116" i="29"/>
  <c r="AE112" i="29"/>
  <c r="AE108" i="29"/>
  <c r="AE102" i="29"/>
  <c r="AE96" i="29"/>
  <c r="AE92" i="29"/>
  <c r="AE86" i="29"/>
  <c r="AE80" i="29"/>
  <c r="AE72" i="29"/>
  <c r="AE68" i="29"/>
  <c r="AE66" i="29"/>
  <c r="AE62" i="29"/>
  <c r="AE60" i="29"/>
  <c r="AE58" i="29"/>
  <c r="AE52" i="29"/>
  <c r="AE50" i="29"/>
  <c r="AE48" i="29"/>
  <c r="AE46" i="29"/>
  <c r="AE42" i="29"/>
  <c r="AE38" i="29"/>
  <c r="AE36" i="29"/>
  <c r="AE34" i="29"/>
  <c r="AE30" i="29"/>
  <c r="AE26" i="29"/>
  <c r="AE24" i="29"/>
  <c r="AE22" i="29"/>
  <c r="AE20" i="29"/>
  <c r="AE18" i="29"/>
  <c r="AE14" i="29"/>
  <c r="AE12" i="29"/>
  <c r="AE10" i="29"/>
  <c r="AE8" i="29"/>
  <c r="AE145" i="29"/>
  <c r="AE130" i="29"/>
  <c r="AE129" i="29" s="1"/>
  <c r="AE120" i="29"/>
  <c r="AE114" i="29"/>
  <c r="AE110" i="29"/>
  <c r="AE104" i="29"/>
  <c r="AE94" i="29"/>
  <c r="AE84" i="29"/>
  <c r="AE70" i="29"/>
  <c r="AE63" i="29"/>
  <c r="AE59" i="29"/>
  <c r="AE51" i="29"/>
  <c r="AE47" i="29"/>
  <c r="AE41" i="29"/>
  <c r="AE35" i="29"/>
  <c r="AE29" i="29"/>
  <c r="AE23" i="29"/>
  <c r="AE19" i="29"/>
  <c r="AE13" i="29"/>
  <c r="AE9" i="29"/>
  <c r="AE98" i="29"/>
  <c r="AE90" i="29"/>
  <c r="AE78" i="29"/>
  <c r="AE67" i="29"/>
  <c r="AE61" i="29"/>
  <c r="AE55" i="29"/>
  <c r="AE54" i="29" s="1"/>
  <c r="AE49" i="29"/>
  <c r="AE45" i="29"/>
  <c r="AE37" i="29"/>
  <c r="AE33" i="29"/>
  <c r="AE25" i="29"/>
  <c r="AE21" i="29"/>
  <c r="AE17" i="29"/>
  <c r="AE11" i="29"/>
  <c r="AE7" i="29"/>
  <c r="AG156" i="29"/>
  <c r="AG149" i="29"/>
  <c r="AG148" i="29"/>
  <c r="AG146" i="29"/>
  <c r="AG144" i="29"/>
  <c r="AG142" i="29"/>
  <c r="AG138" i="29"/>
  <c r="AG136" i="29"/>
  <c r="AG135" i="29"/>
  <c r="AG133" i="29"/>
  <c r="AG127" i="29"/>
  <c r="AG125" i="29"/>
  <c r="AG155" i="29"/>
  <c r="AG145" i="29"/>
  <c r="AG139" i="29"/>
  <c r="AG130" i="29"/>
  <c r="AG129" i="29" s="1"/>
  <c r="AG124" i="29"/>
  <c r="AG123" i="29"/>
  <c r="AG119" i="29"/>
  <c r="AG115" i="29"/>
  <c r="AG113" i="29"/>
  <c r="AG111" i="29"/>
  <c r="AG109" i="29"/>
  <c r="AG107" i="29"/>
  <c r="AG103" i="29"/>
  <c r="AG101" i="29"/>
  <c r="AG97" i="29"/>
  <c r="AG95" i="29"/>
  <c r="AG93" i="29"/>
  <c r="AG91" i="29"/>
  <c r="AG87" i="29"/>
  <c r="AG85" i="29"/>
  <c r="AG81" i="29"/>
  <c r="AG79" i="29"/>
  <c r="AG73" i="29"/>
  <c r="AG71" i="29"/>
  <c r="AG69" i="29"/>
  <c r="AG143" i="29"/>
  <c r="AG126" i="29"/>
  <c r="AG120" i="29"/>
  <c r="AG114" i="29"/>
  <c r="AG110" i="29"/>
  <c r="AG104" i="29"/>
  <c r="AG98" i="29"/>
  <c r="AG94" i="29"/>
  <c r="AG90" i="29"/>
  <c r="AG84" i="29"/>
  <c r="AG78" i="29"/>
  <c r="AG70" i="29"/>
  <c r="AG68" i="29"/>
  <c r="AG66" i="29"/>
  <c r="AG62" i="29"/>
  <c r="AG60" i="29"/>
  <c r="AG58" i="29"/>
  <c r="AG52" i="29"/>
  <c r="AG50" i="29"/>
  <c r="AG48" i="29"/>
  <c r="AG46" i="29"/>
  <c r="AG42" i="29"/>
  <c r="AG38" i="29"/>
  <c r="AG36" i="29"/>
  <c r="AG34" i="29"/>
  <c r="AG30" i="29"/>
  <c r="AG26" i="29"/>
  <c r="AG24" i="29"/>
  <c r="AG22" i="29"/>
  <c r="AG20" i="29"/>
  <c r="AG18" i="29"/>
  <c r="AG14" i="29"/>
  <c r="AG12" i="29"/>
  <c r="AG10" i="29"/>
  <c r="AG8" i="29"/>
  <c r="AG147" i="29"/>
  <c r="AG137" i="29"/>
  <c r="AG134" i="29"/>
  <c r="AG116" i="29"/>
  <c r="AG112" i="29"/>
  <c r="AG108" i="29"/>
  <c r="AG96" i="29"/>
  <c r="AG86" i="29"/>
  <c r="AG72" i="29"/>
  <c r="AG67" i="29"/>
  <c r="AG61" i="29"/>
  <c r="AG55" i="29"/>
  <c r="AG54" i="29" s="1"/>
  <c r="AG49" i="29"/>
  <c r="AG45" i="29"/>
  <c r="AG37" i="29"/>
  <c r="AG33" i="29"/>
  <c r="AG25" i="29"/>
  <c r="AG21" i="29"/>
  <c r="AG17" i="29"/>
  <c r="AG11" i="29"/>
  <c r="AG7" i="29"/>
  <c r="AG102" i="29"/>
  <c r="AG92" i="29"/>
  <c r="AG80" i="29"/>
  <c r="AG63" i="29"/>
  <c r="AG59" i="29"/>
  <c r="AG51" i="29"/>
  <c r="AG47" i="29"/>
  <c r="AG41" i="29"/>
  <c r="AG35" i="29"/>
  <c r="AG29" i="29"/>
  <c r="AG23" i="29"/>
  <c r="AG19" i="29"/>
  <c r="AG13" i="29"/>
  <c r="AG9" i="29"/>
  <c r="AI156" i="29"/>
  <c r="AI149" i="29"/>
  <c r="AI155" i="29"/>
  <c r="AI148" i="29"/>
  <c r="AI146" i="29"/>
  <c r="AI144" i="29"/>
  <c r="AI142" i="29"/>
  <c r="AI138" i="29"/>
  <c r="AI136" i="29"/>
  <c r="AI135" i="29"/>
  <c r="AI133" i="29"/>
  <c r="AI127" i="29"/>
  <c r="AI125" i="29"/>
  <c r="AI147" i="29"/>
  <c r="AI143" i="29"/>
  <c r="AI137" i="29"/>
  <c r="AI134" i="29"/>
  <c r="AI126" i="29"/>
  <c r="AI123" i="29"/>
  <c r="AI119" i="29"/>
  <c r="AI115" i="29"/>
  <c r="AI113" i="29"/>
  <c r="AI111" i="29"/>
  <c r="AI109" i="29"/>
  <c r="AI107" i="29"/>
  <c r="AI103" i="29"/>
  <c r="AI101" i="29"/>
  <c r="AI97" i="29"/>
  <c r="AI95" i="29"/>
  <c r="AI93" i="29"/>
  <c r="AI91" i="29"/>
  <c r="AI87" i="29"/>
  <c r="AI85" i="29"/>
  <c r="AI81" i="29"/>
  <c r="AI79" i="29"/>
  <c r="AI73" i="29"/>
  <c r="AI71" i="29"/>
  <c r="AI69" i="29"/>
  <c r="AI145" i="29"/>
  <c r="AI130" i="29"/>
  <c r="AI129" i="29" s="1"/>
  <c r="AI116" i="29"/>
  <c r="AI112" i="29"/>
  <c r="AI108" i="29"/>
  <c r="AI102" i="29"/>
  <c r="AI96" i="29"/>
  <c r="AI92" i="29"/>
  <c r="AI86" i="29"/>
  <c r="AI80" i="29"/>
  <c r="AI72" i="29"/>
  <c r="AI68" i="29"/>
  <c r="AI66" i="29"/>
  <c r="AI62" i="29"/>
  <c r="AI60" i="29"/>
  <c r="AI58" i="29"/>
  <c r="AI52" i="29"/>
  <c r="AI50" i="29"/>
  <c r="AI48" i="29"/>
  <c r="AI46" i="29"/>
  <c r="AI42" i="29"/>
  <c r="AI38" i="29"/>
  <c r="AI36" i="29"/>
  <c r="AI34" i="29"/>
  <c r="AI30" i="29"/>
  <c r="AI26" i="29"/>
  <c r="AI24" i="29"/>
  <c r="AI22" i="29"/>
  <c r="AI20" i="29"/>
  <c r="AI18" i="29"/>
  <c r="AI14" i="29"/>
  <c r="AI12" i="29"/>
  <c r="AI10" i="29"/>
  <c r="AI8" i="29"/>
  <c r="AI139" i="29"/>
  <c r="AI124" i="29"/>
  <c r="AI120" i="29"/>
  <c r="AI114" i="29"/>
  <c r="AI110" i="29"/>
  <c r="AI104" i="29"/>
  <c r="AI98" i="29"/>
  <c r="AI90" i="29"/>
  <c r="AI78" i="29"/>
  <c r="AI63" i="29"/>
  <c r="AI59" i="29"/>
  <c r="AI51" i="29"/>
  <c r="AI47" i="29"/>
  <c r="AI41" i="29"/>
  <c r="AI35" i="29"/>
  <c r="AI29" i="29"/>
  <c r="AI23" i="29"/>
  <c r="AI19" i="29"/>
  <c r="AI13" i="29"/>
  <c r="AI9" i="29"/>
  <c r="AI94" i="29"/>
  <c r="AI84" i="29"/>
  <c r="AI70" i="29"/>
  <c r="AI67" i="29"/>
  <c r="AI61" i="29"/>
  <c r="AI55" i="29"/>
  <c r="AI54" i="29" s="1"/>
  <c r="AI49" i="29"/>
  <c r="AI45" i="29"/>
  <c r="AI37" i="29"/>
  <c r="AI33" i="29"/>
  <c r="AI25" i="29"/>
  <c r="AI21" i="29"/>
  <c r="AI17" i="29"/>
  <c r="AI11" i="29"/>
  <c r="AI7" i="29"/>
  <c r="AK156" i="29"/>
  <c r="AK149" i="29"/>
  <c r="AK148" i="29"/>
  <c r="AK146" i="29"/>
  <c r="AK144" i="29"/>
  <c r="AK142" i="29"/>
  <c r="AK138" i="29"/>
  <c r="AK136" i="29"/>
  <c r="AK135" i="29"/>
  <c r="AK133" i="29"/>
  <c r="AK127" i="29"/>
  <c r="AK125" i="29"/>
  <c r="AK145" i="29"/>
  <c r="AK139" i="29"/>
  <c r="AK130" i="29"/>
  <c r="AK129" i="29" s="1"/>
  <c r="AK124" i="29"/>
  <c r="AK123" i="29"/>
  <c r="AK119" i="29"/>
  <c r="AK115" i="29"/>
  <c r="AK113" i="29"/>
  <c r="AK111" i="29"/>
  <c r="AK109" i="29"/>
  <c r="AK107" i="29"/>
  <c r="AK103" i="29"/>
  <c r="AK101" i="29"/>
  <c r="AK97" i="29"/>
  <c r="AK95" i="29"/>
  <c r="AK93" i="29"/>
  <c r="AK91" i="29"/>
  <c r="AK87" i="29"/>
  <c r="AK85" i="29"/>
  <c r="AK81" i="29"/>
  <c r="AK79" i="29"/>
  <c r="AK73" i="29"/>
  <c r="AK71" i="29"/>
  <c r="AK155" i="29"/>
  <c r="AK147" i="29"/>
  <c r="AK137" i="29"/>
  <c r="AK134" i="29"/>
  <c r="AK120" i="29"/>
  <c r="AK114" i="29"/>
  <c r="AK110" i="29"/>
  <c r="AK104" i="29"/>
  <c r="AK98" i="29"/>
  <c r="AK94" i="29"/>
  <c r="AK90" i="29"/>
  <c r="AK84" i="29"/>
  <c r="AK78" i="29"/>
  <c r="AK70" i="29"/>
  <c r="AK68" i="29"/>
  <c r="AK66" i="29"/>
  <c r="AK62" i="29"/>
  <c r="AK60" i="29"/>
  <c r="AK58" i="29"/>
  <c r="AK52" i="29"/>
  <c r="AK50" i="29"/>
  <c r="AK48" i="29"/>
  <c r="AK46" i="29"/>
  <c r="AK42" i="29"/>
  <c r="AK38" i="29"/>
  <c r="AK36" i="29"/>
  <c r="AK34" i="29"/>
  <c r="AK30" i="29"/>
  <c r="AK26" i="29"/>
  <c r="AK24" i="29"/>
  <c r="AK22" i="29"/>
  <c r="AK20" i="29"/>
  <c r="AK18" i="29"/>
  <c r="AK14" i="29"/>
  <c r="AK12" i="29"/>
  <c r="AK10" i="29"/>
  <c r="AK8" i="29"/>
  <c r="AK143" i="29"/>
  <c r="AK126" i="29"/>
  <c r="AK116" i="29"/>
  <c r="AK112" i="29"/>
  <c r="AK108" i="29"/>
  <c r="AK102" i="29"/>
  <c r="AK92" i="29"/>
  <c r="AK80" i="29"/>
  <c r="AK67" i="29"/>
  <c r="AK61" i="29"/>
  <c r="AK55" i="29"/>
  <c r="AK54" i="29" s="1"/>
  <c r="AK49" i="29"/>
  <c r="AK45" i="29"/>
  <c r="AK37" i="29"/>
  <c r="AK33" i="29"/>
  <c r="AK25" i="29"/>
  <c r="AK21" i="29"/>
  <c r="AK17" i="29"/>
  <c r="AK11" i="29"/>
  <c r="AK7" i="29"/>
  <c r="AK96" i="29"/>
  <c r="AK86" i="29"/>
  <c r="AK72" i="29"/>
  <c r="AK69" i="29"/>
  <c r="AK63" i="29"/>
  <c r="AK59" i="29"/>
  <c r="AK51" i="29"/>
  <c r="AK47" i="29"/>
  <c r="AK41" i="29"/>
  <c r="AK40" i="29" s="1"/>
  <c r="AK35" i="29"/>
  <c r="AK29" i="29"/>
  <c r="AK28" i="29" s="1"/>
  <c r="AK23" i="29"/>
  <c r="AK19" i="29"/>
  <c r="AK13" i="29"/>
  <c r="AK9" i="29"/>
  <c r="AM156" i="29"/>
  <c r="AM149" i="29"/>
  <c r="AM155" i="29"/>
  <c r="AM148" i="29"/>
  <c r="AM146" i="29"/>
  <c r="AM144" i="29"/>
  <c r="AM142" i="29"/>
  <c r="AM138" i="29"/>
  <c r="AM136" i="29"/>
  <c r="AM135" i="29"/>
  <c r="AM133" i="29"/>
  <c r="AM127" i="29"/>
  <c r="AM125" i="29"/>
  <c r="AM147" i="29"/>
  <c r="AM143" i="29"/>
  <c r="AM137" i="29"/>
  <c r="AM134" i="29"/>
  <c r="AM126" i="29"/>
  <c r="AM123" i="29"/>
  <c r="AM119" i="29"/>
  <c r="AM115" i="29"/>
  <c r="AM113" i="29"/>
  <c r="AM111" i="29"/>
  <c r="AM109" i="29"/>
  <c r="AM107" i="29"/>
  <c r="AM103" i="29"/>
  <c r="AM101" i="29"/>
  <c r="AM97" i="29"/>
  <c r="AM95" i="29"/>
  <c r="AM93" i="29"/>
  <c r="AM91" i="29"/>
  <c r="AM87" i="29"/>
  <c r="AM85" i="29"/>
  <c r="AM81" i="29"/>
  <c r="AM79" i="29"/>
  <c r="AM73" i="29"/>
  <c r="AM71" i="29"/>
  <c r="AM139" i="29"/>
  <c r="AM124" i="29"/>
  <c r="AM116" i="29"/>
  <c r="AM112" i="29"/>
  <c r="AM108" i="29"/>
  <c r="AM102" i="29"/>
  <c r="AM96" i="29"/>
  <c r="AM92" i="29"/>
  <c r="AM86" i="29"/>
  <c r="AM80" i="29"/>
  <c r="AM72" i="29"/>
  <c r="AM68" i="29"/>
  <c r="AM66" i="29"/>
  <c r="AM62" i="29"/>
  <c r="AM60" i="29"/>
  <c r="AM58" i="29"/>
  <c r="AM52" i="29"/>
  <c r="AM50" i="29"/>
  <c r="AM48" i="29"/>
  <c r="AM46" i="29"/>
  <c r="AM42" i="29"/>
  <c r="AM38" i="29"/>
  <c r="AM36" i="29"/>
  <c r="AM34" i="29"/>
  <c r="AM30" i="29"/>
  <c r="AM26" i="29"/>
  <c r="AM24" i="29"/>
  <c r="AM22" i="29"/>
  <c r="AM20" i="29"/>
  <c r="AM18" i="29"/>
  <c r="AM14" i="29"/>
  <c r="AM12" i="29"/>
  <c r="AM10" i="29"/>
  <c r="AM8" i="29"/>
  <c r="AM145" i="29"/>
  <c r="AM130" i="29"/>
  <c r="AM129" i="29" s="1"/>
  <c r="AM120" i="29"/>
  <c r="AM114" i="29"/>
  <c r="AM110" i="29"/>
  <c r="AM104" i="29"/>
  <c r="AM94" i="29"/>
  <c r="AM84" i="29"/>
  <c r="AM70" i="29"/>
  <c r="AM69" i="29"/>
  <c r="AM63" i="29"/>
  <c r="AM59" i="29"/>
  <c r="AM51" i="29"/>
  <c r="AM47" i="29"/>
  <c r="AM41" i="29"/>
  <c r="AM35" i="29"/>
  <c r="AM29" i="29"/>
  <c r="AM23" i="29"/>
  <c r="AM19" i="29"/>
  <c r="AM13" i="29"/>
  <c r="AM9" i="29"/>
  <c r="AM98" i="29"/>
  <c r="AM90" i="29"/>
  <c r="AM78" i="29"/>
  <c r="AM67" i="29"/>
  <c r="AM61" i="29"/>
  <c r="AM55" i="29"/>
  <c r="AM54" i="29" s="1"/>
  <c r="AM49" i="29"/>
  <c r="AM45" i="29"/>
  <c r="AM37" i="29"/>
  <c r="AM33" i="29"/>
  <c r="AM25" i="29"/>
  <c r="AM21" i="29"/>
  <c r="AM17" i="29"/>
  <c r="AM11" i="29"/>
  <c r="AM7" i="29"/>
  <c r="AO156" i="29"/>
  <c r="AO148" i="29"/>
  <c r="AO146" i="29"/>
  <c r="AO144" i="29"/>
  <c r="AO142" i="29"/>
  <c r="AO138" i="29"/>
  <c r="AO136" i="29"/>
  <c r="AO135" i="29"/>
  <c r="AO133" i="29"/>
  <c r="AO127" i="29"/>
  <c r="AO125" i="29"/>
  <c r="AO155" i="29"/>
  <c r="AO149" i="29"/>
  <c r="AO145" i="29"/>
  <c r="AO139" i="29"/>
  <c r="AO130" i="29"/>
  <c r="AO129" i="29" s="1"/>
  <c r="AO124" i="29"/>
  <c r="AO123" i="29"/>
  <c r="AO119" i="29"/>
  <c r="AO115" i="29"/>
  <c r="AO113" i="29"/>
  <c r="AO111" i="29"/>
  <c r="AO109" i="29"/>
  <c r="AO107" i="29"/>
  <c r="AO103" i="29"/>
  <c r="AO101" i="29"/>
  <c r="AO97" i="29"/>
  <c r="AO95" i="29"/>
  <c r="AO93" i="29"/>
  <c r="AO91" i="29"/>
  <c r="AO87" i="29"/>
  <c r="AO85" i="29"/>
  <c r="AO81" i="29"/>
  <c r="AO79" i="29"/>
  <c r="AO73" i="29"/>
  <c r="AO71" i="29"/>
  <c r="AO143" i="29"/>
  <c r="AO126" i="29"/>
  <c r="AO120" i="29"/>
  <c r="AO114" i="29"/>
  <c r="AO110" i="29"/>
  <c r="AO104" i="29"/>
  <c r="AO98" i="29"/>
  <c r="AO94" i="29"/>
  <c r="AO90" i="29"/>
  <c r="AO84" i="29"/>
  <c r="AO78" i="29"/>
  <c r="AO70" i="29"/>
  <c r="AO68" i="29"/>
  <c r="AO66" i="29"/>
  <c r="AO62" i="29"/>
  <c r="AO60" i="29"/>
  <c r="AO58" i="29"/>
  <c r="AO52" i="29"/>
  <c r="AO50" i="29"/>
  <c r="AO48" i="29"/>
  <c r="AO46" i="29"/>
  <c r="AO42" i="29"/>
  <c r="AO38" i="29"/>
  <c r="AO36" i="29"/>
  <c r="AO34" i="29"/>
  <c r="AO30" i="29"/>
  <c r="AO26" i="29"/>
  <c r="AO24" i="29"/>
  <c r="AO22" i="29"/>
  <c r="AO20" i="29"/>
  <c r="AO18" i="29"/>
  <c r="AO14" i="29"/>
  <c r="AO12" i="29"/>
  <c r="AO10" i="29"/>
  <c r="AO8" i="29"/>
  <c r="AO147" i="29"/>
  <c r="AO137" i="29"/>
  <c r="AO134" i="29"/>
  <c r="AO116" i="29"/>
  <c r="AO112" i="29"/>
  <c r="AO108" i="29"/>
  <c r="AO96" i="29"/>
  <c r="AO86" i="29"/>
  <c r="AO72" i="29"/>
  <c r="AO67" i="29"/>
  <c r="AO61" i="29"/>
  <c r="AO55" i="29"/>
  <c r="AO54" i="29" s="1"/>
  <c r="AO49" i="29"/>
  <c r="AO45" i="29"/>
  <c r="AO37" i="29"/>
  <c r="AO33" i="29"/>
  <c r="AO25" i="29"/>
  <c r="AO21" i="29"/>
  <c r="AO17" i="29"/>
  <c r="AO11" i="29"/>
  <c r="AO7" i="29"/>
  <c r="AO102" i="29"/>
  <c r="AO92" i="29"/>
  <c r="AO80" i="29"/>
  <c r="AO69" i="29"/>
  <c r="AO63" i="29"/>
  <c r="AO59" i="29"/>
  <c r="AO51" i="29"/>
  <c r="AO47" i="29"/>
  <c r="AO41" i="29"/>
  <c r="AO35" i="29"/>
  <c r="AO29" i="29"/>
  <c r="AO23" i="29"/>
  <c r="AO19" i="29"/>
  <c r="AO13" i="29"/>
  <c r="AO9" i="29"/>
  <c r="AQ156" i="29"/>
  <c r="AQ155" i="29"/>
  <c r="AQ148" i="29"/>
  <c r="AQ146" i="29"/>
  <c r="AQ144" i="29"/>
  <c r="AQ142" i="29"/>
  <c r="AQ138" i="29"/>
  <c r="AQ136" i="29"/>
  <c r="AQ135" i="29"/>
  <c r="AQ133" i="29"/>
  <c r="AQ127" i="29"/>
  <c r="AQ125" i="29"/>
  <c r="AQ147" i="29"/>
  <c r="AQ143" i="29"/>
  <c r="AQ137" i="29"/>
  <c r="AQ134" i="29"/>
  <c r="AQ126" i="29"/>
  <c r="AQ123" i="29"/>
  <c r="AQ119" i="29"/>
  <c r="AQ115" i="29"/>
  <c r="AQ113" i="29"/>
  <c r="AQ111" i="29"/>
  <c r="AQ109" i="29"/>
  <c r="AQ107" i="29"/>
  <c r="AQ103" i="29"/>
  <c r="AQ101" i="29"/>
  <c r="AQ97" i="29"/>
  <c r="AQ95" i="29"/>
  <c r="AQ93" i="29"/>
  <c r="AQ91" i="29"/>
  <c r="AQ87" i="29"/>
  <c r="AQ85" i="29"/>
  <c r="AQ81" i="29"/>
  <c r="AQ79" i="29"/>
  <c r="AQ73" i="29"/>
  <c r="AQ71" i="29"/>
  <c r="AQ145" i="29"/>
  <c r="AQ130" i="29"/>
  <c r="AQ129" i="29" s="1"/>
  <c r="AQ116" i="29"/>
  <c r="AQ112" i="29"/>
  <c r="AQ108" i="29"/>
  <c r="AQ102" i="29"/>
  <c r="AQ96" i="29"/>
  <c r="AQ92" i="29"/>
  <c r="AQ86" i="29"/>
  <c r="AQ80" i="29"/>
  <c r="AQ72" i="29"/>
  <c r="AQ68" i="29"/>
  <c r="AQ66" i="29"/>
  <c r="AQ62" i="29"/>
  <c r="AQ60" i="29"/>
  <c r="AQ58" i="29"/>
  <c r="AQ52" i="29"/>
  <c r="AQ50" i="29"/>
  <c r="AQ48" i="29"/>
  <c r="AQ46" i="29"/>
  <c r="AQ42" i="29"/>
  <c r="AQ38" i="29"/>
  <c r="AQ36" i="29"/>
  <c r="AQ34" i="29"/>
  <c r="AQ30" i="29"/>
  <c r="AQ26" i="29"/>
  <c r="AQ24" i="29"/>
  <c r="AQ22" i="29"/>
  <c r="AQ20" i="29"/>
  <c r="AQ18" i="29"/>
  <c r="AQ14" i="29"/>
  <c r="AQ12" i="29"/>
  <c r="AQ10" i="29"/>
  <c r="AQ8" i="29"/>
  <c r="AQ149" i="29"/>
  <c r="AQ139" i="29"/>
  <c r="AQ124" i="29"/>
  <c r="AQ120" i="29"/>
  <c r="AQ114" i="29"/>
  <c r="AQ110" i="29"/>
  <c r="AQ104" i="29"/>
  <c r="AQ98" i="29"/>
  <c r="AQ90" i="29"/>
  <c r="AQ78" i="29"/>
  <c r="AQ69" i="29"/>
  <c r="AQ63" i="29"/>
  <c r="AQ59" i="29"/>
  <c r="AQ51" i="29"/>
  <c r="AQ47" i="29"/>
  <c r="AQ41" i="29"/>
  <c r="AQ35" i="29"/>
  <c r="AQ29" i="29"/>
  <c r="AQ23" i="29"/>
  <c r="AQ19" i="29"/>
  <c r="AQ13" i="29"/>
  <c r="AQ9" i="29"/>
  <c r="AQ94" i="29"/>
  <c r="AQ84" i="29"/>
  <c r="AQ70" i="29"/>
  <c r="AQ67" i="29"/>
  <c r="AQ61" i="29"/>
  <c r="AQ55" i="29"/>
  <c r="AQ54" i="29" s="1"/>
  <c r="AQ49" i="29"/>
  <c r="AQ45" i="29"/>
  <c r="AQ37" i="29"/>
  <c r="AQ33" i="29"/>
  <c r="AQ25" i="29"/>
  <c r="AQ21" i="29"/>
  <c r="AQ17" i="29"/>
  <c r="AQ11" i="29"/>
  <c r="AQ7" i="29"/>
  <c r="AS156" i="29"/>
  <c r="AS148" i="29"/>
  <c r="AS146" i="29"/>
  <c r="AS144" i="29"/>
  <c r="AS142" i="29"/>
  <c r="AS138" i="29"/>
  <c r="AS136" i="29"/>
  <c r="AS135" i="29"/>
  <c r="AS133" i="29"/>
  <c r="AS127" i="29"/>
  <c r="AS125" i="29"/>
  <c r="AS149" i="29"/>
  <c r="AS145" i="29"/>
  <c r="AS139" i="29"/>
  <c r="AS130" i="29"/>
  <c r="AS129" i="29" s="1"/>
  <c r="AS124" i="29"/>
  <c r="AS123" i="29"/>
  <c r="AS119" i="29"/>
  <c r="AS115" i="29"/>
  <c r="AS113" i="29"/>
  <c r="AS111" i="29"/>
  <c r="AS109" i="29"/>
  <c r="AS107" i="29"/>
  <c r="AS103" i="29"/>
  <c r="AS101" i="29"/>
  <c r="AS97" i="29"/>
  <c r="AS95" i="29"/>
  <c r="AS93" i="29"/>
  <c r="AS91" i="29"/>
  <c r="AS87" i="29"/>
  <c r="AS85" i="29"/>
  <c r="AS81" i="29"/>
  <c r="AS79" i="29"/>
  <c r="AS73" i="29"/>
  <c r="AS71" i="29"/>
  <c r="AS147" i="29"/>
  <c r="AS137" i="29"/>
  <c r="AS134" i="29"/>
  <c r="AS120" i="29"/>
  <c r="AS114" i="29"/>
  <c r="AS110" i="29"/>
  <c r="AS104" i="29"/>
  <c r="AS98" i="29"/>
  <c r="AS94" i="29"/>
  <c r="AS90" i="29"/>
  <c r="AS84" i="29"/>
  <c r="AS78" i="29"/>
  <c r="AS70" i="29"/>
  <c r="AS68" i="29"/>
  <c r="AS66" i="29"/>
  <c r="AS62" i="29"/>
  <c r="AS60" i="29"/>
  <c r="AS58" i="29"/>
  <c r="AS52" i="29"/>
  <c r="AS50" i="29"/>
  <c r="AS48" i="29"/>
  <c r="AS46" i="29"/>
  <c r="AS42" i="29"/>
  <c r="AS38" i="29"/>
  <c r="AS36" i="29"/>
  <c r="AS34" i="29"/>
  <c r="AS30" i="29"/>
  <c r="AS26" i="29"/>
  <c r="AS24" i="29"/>
  <c r="AS22" i="29"/>
  <c r="AS20" i="29"/>
  <c r="AS18" i="29"/>
  <c r="AS14" i="29"/>
  <c r="AS12" i="29"/>
  <c r="AS10" i="29"/>
  <c r="AS8" i="29"/>
  <c r="AS155" i="29"/>
  <c r="AS143" i="29"/>
  <c r="AS126" i="29"/>
  <c r="AS116" i="29"/>
  <c r="AS112" i="29"/>
  <c r="AS108" i="29"/>
  <c r="AS102" i="29"/>
  <c r="AS92" i="29"/>
  <c r="AS80" i="29"/>
  <c r="AS67" i="29"/>
  <c r="AS61" i="29"/>
  <c r="AS55" i="29"/>
  <c r="AS54" i="29" s="1"/>
  <c r="AS49" i="29"/>
  <c r="AS45" i="29"/>
  <c r="AS37" i="29"/>
  <c r="AS33" i="29"/>
  <c r="AS25" i="29"/>
  <c r="AS21" i="29"/>
  <c r="AS17" i="29"/>
  <c r="AS11" i="29"/>
  <c r="AS7" i="29"/>
  <c r="AS96" i="29"/>
  <c r="AS86" i="29"/>
  <c r="AS72" i="29"/>
  <c r="AS69" i="29"/>
  <c r="AS63" i="29"/>
  <c r="AS59" i="29"/>
  <c r="AS51" i="29"/>
  <c r="AS47" i="29"/>
  <c r="AS41" i="29"/>
  <c r="AS35" i="29"/>
  <c r="AS29" i="29"/>
  <c r="AS23" i="29"/>
  <c r="AS19" i="29"/>
  <c r="AS13" i="29"/>
  <c r="AS9" i="29"/>
  <c r="AU156" i="29"/>
  <c r="AU155" i="29"/>
  <c r="AU148" i="29"/>
  <c r="AU146" i="29"/>
  <c r="AU144" i="29"/>
  <c r="AU142" i="29"/>
  <c r="AU138" i="29"/>
  <c r="AU136" i="29"/>
  <c r="AU135" i="29"/>
  <c r="AU133" i="29"/>
  <c r="AU127" i="29"/>
  <c r="AU125" i="29"/>
  <c r="AU147" i="29"/>
  <c r="AU143" i="29"/>
  <c r="AU137" i="29"/>
  <c r="AU134" i="29"/>
  <c r="AU126" i="29"/>
  <c r="AU123" i="29"/>
  <c r="AU119" i="29"/>
  <c r="AU115" i="29"/>
  <c r="AU113" i="29"/>
  <c r="AU111" i="29"/>
  <c r="AU109" i="29"/>
  <c r="AU107" i="29"/>
  <c r="AU103" i="29"/>
  <c r="AU101" i="29"/>
  <c r="AU97" i="29"/>
  <c r="AU95" i="29"/>
  <c r="AU93" i="29"/>
  <c r="AU91" i="29"/>
  <c r="AU87" i="29"/>
  <c r="AU85" i="29"/>
  <c r="AU81" i="29"/>
  <c r="AU79" i="29"/>
  <c r="AU73" i="29"/>
  <c r="AU71" i="29"/>
  <c r="AU149" i="29"/>
  <c r="AU139" i="29"/>
  <c r="AU124" i="29"/>
  <c r="AU116" i="29"/>
  <c r="AU112" i="29"/>
  <c r="AU108" i="29"/>
  <c r="AU102" i="29"/>
  <c r="AU96" i="29"/>
  <c r="AU92" i="29"/>
  <c r="AU86" i="29"/>
  <c r="AU80" i="29"/>
  <c r="AU72" i="29"/>
  <c r="AU68" i="29"/>
  <c r="AU66" i="29"/>
  <c r="AU62" i="29"/>
  <c r="AU60" i="29"/>
  <c r="AU58" i="29"/>
  <c r="AU52" i="29"/>
  <c r="AU50" i="29"/>
  <c r="AU48" i="29"/>
  <c r="AU46" i="29"/>
  <c r="AU42" i="29"/>
  <c r="AU38" i="29"/>
  <c r="AU36" i="29"/>
  <c r="AU34" i="29"/>
  <c r="AU30" i="29"/>
  <c r="AU26" i="29"/>
  <c r="AU24" i="29"/>
  <c r="AU22" i="29"/>
  <c r="AU20" i="29"/>
  <c r="AU18" i="29"/>
  <c r="AU14" i="29"/>
  <c r="AU12" i="29"/>
  <c r="AU10" i="29"/>
  <c r="AU8" i="29"/>
  <c r="AU145" i="29"/>
  <c r="AU130" i="29"/>
  <c r="AU129" i="29" s="1"/>
  <c r="AU120" i="29"/>
  <c r="AU114" i="29"/>
  <c r="AU110" i="29"/>
  <c r="AU104" i="29"/>
  <c r="AU94" i="29"/>
  <c r="AU84" i="29"/>
  <c r="AU70" i="29"/>
  <c r="AU69" i="29"/>
  <c r="AU63" i="29"/>
  <c r="AU59" i="29"/>
  <c r="AU51" i="29"/>
  <c r="AU47" i="29"/>
  <c r="AU41" i="29"/>
  <c r="AU35" i="29"/>
  <c r="AU29" i="29"/>
  <c r="AU23" i="29"/>
  <c r="AU19" i="29"/>
  <c r="AU13" i="29"/>
  <c r="AU9" i="29"/>
  <c r="AU98" i="29"/>
  <c r="AU90" i="29"/>
  <c r="AU78" i="29"/>
  <c r="AU67" i="29"/>
  <c r="AU61" i="29"/>
  <c r="AU55" i="29"/>
  <c r="AU54" i="29" s="1"/>
  <c r="AU49" i="29"/>
  <c r="AU45" i="29"/>
  <c r="AU37" i="29"/>
  <c r="AU33" i="29"/>
  <c r="AU25" i="29"/>
  <c r="AU21" i="29"/>
  <c r="AU17" i="29"/>
  <c r="AU11" i="29"/>
  <c r="AU7" i="29"/>
  <c r="AW156" i="29"/>
  <c r="AW148" i="29"/>
  <c r="AW146" i="29"/>
  <c r="AW144" i="29"/>
  <c r="AW142" i="29"/>
  <c r="AW138" i="29"/>
  <c r="AW136" i="29"/>
  <c r="AW135" i="29"/>
  <c r="AW133" i="29"/>
  <c r="AW127" i="29"/>
  <c r="AW125" i="29"/>
  <c r="AW155" i="29"/>
  <c r="AW149" i="29"/>
  <c r="AW145" i="29"/>
  <c r="AW139" i="29"/>
  <c r="AW130" i="29"/>
  <c r="AW129" i="29" s="1"/>
  <c r="AW124" i="29"/>
  <c r="AW123" i="29"/>
  <c r="AW119" i="29"/>
  <c r="AW115" i="29"/>
  <c r="AW113" i="29"/>
  <c r="AW111" i="29"/>
  <c r="AW109" i="29"/>
  <c r="AW107" i="29"/>
  <c r="AW103" i="29"/>
  <c r="AW101" i="29"/>
  <c r="AW97" i="29"/>
  <c r="AW95" i="29"/>
  <c r="AW93" i="29"/>
  <c r="AW91" i="29"/>
  <c r="AW87" i="29"/>
  <c r="AW85" i="29"/>
  <c r="AW81" i="29"/>
  <c r="AW79" i="29"/>
  <c r="AW73" i="29"/>
  <c r="AW71" i="29"/>
  <c r="AW143" i="29"/>
  <c r="AW126" i="29"/>
  <c r="AW120" i="29"/>
  <c r="AW114" i="29"/>
  <c r="AW110" i="29"/>
  <c r="AW104" i="29"/>
  <c r="AW98" i="29"/>
  <c r="AW94" i="29"/>
  <c r="AW90" i="29"/>
  <c r="AW84" i="29"/>
  <c r="AW78" i="29"/>
  <c r="AW70" i="29"/>
  <c r="AW68" i="29"/>
  <c r="AW66" i="29"/>
  <c r="AW62" i="29"/>
  <c r="AW60" i="29"/>
  <c r="AW58" i="29"/>
  <c r="AW52" i="29"/>
  <c r="AW50" i="29"/>
  <c r="AW48" i="29"/>
  <c r="AW46" i="29"/>
  <c r="AW42" i="29"/>
  <c r="AW38" i="29"/>
  <c r="AW36" i="29"/>
  <c r="AW34" i="29"/>
  <c r="AW30" i="29"/>
  <c r="AW26" i="29"/>
  <c r="AW24" i="29"/>
  <c r="AW22" i="29"/>
  <c r="AW20" i="29"/>
  <c r="AW18" i="29"/>
  <c r="AW14" i="29"/>
  <c r="AW12" i="29"/>
  <c r="AW10" i="29"/>
  <c r="AW8" i="29"/>
  <c r="AW147" i="29"/>
  <c r="AW137" i="29"/>
  <c r="AW134" i="29"/>
  <c r="AW116" i="29"/>
  <c r="AW112" i="29"/>
  <c r="AW108" i="29"/>
  <c r="AW96" i="29"/>
  <c r="AW86" i="29"/>
  <c r="AW72" i="29"/>
  <c r="AW67" i="29"/>
  <c r="AW61" i="29"/>
  <c r="AW55" i="29"/>
  <c r="AW54" i="29" s="1"/>
  <c r="AW49" i="29"/>
  <c r="AW45" i="29"/>
  <c r="AW37" i="29"/>
  <c r="AW33" i="29"/>
  <c r="AW25" i="29"/>
  <c r="AW21" i="29"/>
  <c r="AW17" i="29"/>
  <c r="AW11" i="29"/>
  <c r="AW7" i="29"/>
  <c r="AW102" i="29"/>
  <c r="AW92" i="29"/>
  <c r="AW80" i="29"/>
  <c r="AW69" i="29"/>
  <c r="AW63" i="29"/>
  <c r="AW59" i="29"/>
  <c r="AW51" i="29"/>
  <c r="AW47" i="29"/>
  <c r="AW41" i="29"/>
  <c r="AW35" i="29"/>
  <c r="AW29" i="29"/>
  <c r="AW23" i="29"/>
  <c r="AW19" i="29"/>
  <c r="AW13" i="29"/>
  <c r="AW9" i="29"/>
  <c r="AY156" i="29"/>
  <c r="AY155" i="29"/>
  <c r="AY148" i="29"/>
  <c r="AY146" i="29"/>
  <c r="AY144" i="29"/>
  <c r="AY142" i="29"/>
  <c r="AY138" i="29"/>
  <c r="AY136" i="29"/>
  <c r="AY135" i="29"/>
  <c r="AY133" i="29"/>
  <c r="AY127" i="29"/>
  <c r="AY125" i="29"/>
  <c r="AY147" i="29"/>
  <c r="AY143" i="29"/>
  <c r="AY137" i="29"/>
  <c r="AY134" i="29"/>
  <c r="AY126" i="29"/>
  <c r="AY123" i="29"/>
  <c r="AY119" i="29"/>
  <c r="AY115" i="29"/>
  <c r="AY113" i="29"/>
  <c r="AY111" i="29"/>
  <c r="AY109" i="29"/>
  <c r="AY107" i="29"/>
  <c r="AY103" i="29"/>
  <c r="AY101" i="29"/>
  <c r="AY97" i="29"/>
  <c r="AY95" i="29"/>
  <c r="AY93" i="29"/>
  <c r="AY91" i="29"/>
  <c r="AY87" i="29"/>
  <c r="AY85" i="29"/>
  <c r="AY81" i="29"/>
  <c r="AY79" i="29"/>
  <c r="AY73" i="29"/>
  <c r="AY71" i="29"/>
  <c r="AY145" i="29"/>
  <c r="AY130" i="29"/>
  <c r="AY129" i="29" s="1"/>
  <c r="AY116" i="29"/>
  <c r="AY112" i="29"/>
  <c r="AY108" i="29"/>
  <c r="AY102" i="29"/>
  <c r="AY96" i="29"/>
  <c r="AY92" i="29"/>
  <c r="AY86" i="29"/>
  <c r="AY80" i="29"/>
  <c r="AY72" i="29"/>
  <c r="AY68" i="29"/>
  <c r="AY66" i="29"/>
  <c r="AY62" i="29"/>
  <c r="AY60" i="29"/>
  <c r="AY58" i="29"/>
  <c r="AY52" i="29"/>
  <c r="AY50" i="29"/>
  <c r="AY48" i="29"/>
  <c r="AY46" i="29"/>
  <c r="AY42" i="29"/>
  <c r="AY38" i="29"/>
  <c r="AY36" i="29"/>
  <c r="AY34" i="29"/>
  <c r="AY30" i="29"/>
  <c r="AY26" i="29"/>
  <c r="AY24" i="29"/>
  <c r="AY22" i="29"/>
  <c r="AY20" i="29"/>
  <c r="AY18" i="29"/>
  <c r="AY14" i="29"/>
  <c r="AY12" i="29"/>
  <c r="AY10" i="29"/>
  <c r="AY8" i="29"/>
  <c r="AY149" i="29"/>
  <c r="AY139" i="29"/>
  <c r="AY124" i="29"/>
  <c r="AY120" i="29"/>
  <c r="AY114" i="29"/>
  <c r="AY110" i="29"/>
  <c r="AY98" i="29"/>
  <c r="AY90" i="29"/>
  <c r="AY78" i="29"/>
  <c r="AY69" i="29"/>
  <c r="AY63" i="29"/>
  <c r="AY59" i="29"/>
  <c r="AY51" i="29"/>
  <c r="AY47" i="29"/>
  <c r="AY41" i="29"/>
  <c r="AY35" i="29"/>
  <c r="AY29" i="29"/>
  <c r="AY23" i="29"/>
  <c r="AY19" i="29"/>
  <c r="AY13" i="29"/>
  <c r="AY9" i="29"/>
  <c r="AY104" i="29"/>
  <c r="AY94" i="29"/>
  <c r="AY84" i="29"/>
  <c r="AY70" i="29"/>
  <c r="AY67" i="29"/>
  <c r="AY61" i="29"/>
  <c r="AY55" i="29"/>
  <c r="AY54" i="29" s="1"/>
  <c r="AY49" i="29"/>
  <c r="AY45" i="29"/>
  <c r="AY37" i="29"/>
  <c r="AY33" i="29"/>
  <c r="AY25" i="29"/>
  <c r="AY21" i="29"/>
  <c r="AY17" i="29"/>
  <c r="AY11" i="29"/>
  <c r="AY7" i="29"/>
  <c r="BA156" i="29"/>
  <c r="BA148" i="29"/>
  <c r="BA146" i="29"/>
  <c r="BA144" i="29"/>
  <c r="BA142" i="29"/>
  <c r="BA138" i="29"/>
  <c r="BA136" i="29"/>
  <c r="BA135" i="29"/>
  <c r="BA133" i="29"/>
  <c r="BA127" i="29"/>
  <c r="BA125" i="29"/>
  <c r="BA149" i="29"/>
  <c r="BA145" i="29"/>
  <c r="BA139" i="29"/>
  <c r="BA130" i="29"/>
  <c r="BA129" i="29" s="1"/>
  <c r="BA124" i="29"/>
  <c r="BA123" i="29"/>
  <c r="BA119" i="29"/>
  <c r="BA115" i="29"/>
  <c r="BA113" i="29"/>
  <c r="BA111" i="29"/>
  <c r="BA109" i="29"/>
  <c r="BA107" i="29"/>
  <c r="BA103" i="29"/>
  <c r="BA101" i="29"/>
  <c r="BA97" i="29"/>
  <c r="BA95" i="29"/>
  <c r="BA93" i="29"/>
  <c r="BA91" i="29"/>
  <c r="BA87" i="29"/>
  <c r="BA85" i="29"/>
  <c r="BA81" i="29"/>
  <c r="BA79" i="29"/>
  <c r="BA73" i="29"/>
  <c r="BA71" i="29"/>
  <c r="BA155" i="29"/>
  <c r="BA147" i="29"/>
  <c r="BA137" i="29"/>
  <c r="BA134" i="29"/>
  <c r="BA120" i="29"/>
  <c r="BA114" i="29"/>
  <c r="BA110" i="29"/>
  <c r="BA104" i="29"/>
  <c r="BA98" i="29"/>
  <c r="BA94" i="29"/>
  <c r="BA90" i="29"/>
  <c r="BA84" i="29"/>
  <c r="BA78" i="29"/>
  <c r="BA70" i="29"/>
  <c r="BA68" i="29"/>
  <c r="BA66" i="29"/>
  <c r="BA62" i="29"/>
  <c r="BA60" i="29"/>
  <c r="BA58" i="29"/>
  <c r="BA52" i="29"/>
  <c r="BA50" i="29"/>
  <c r="BA48" i="29"/>
  <c r="BA46" i="29"/>
  <c r="BA42" i="29"/>
  <c r="BA38" i="29"/>
  <c r="BA36" i="29"/>
  <c r="BA34" i="29"/>
  <c r="BA30" i="29"/>
  <c r="BA26" i="29"/>
  <c r="BA24" i="29"/>
  <c r="BA22" i="29"/>
  <c r="BA20" i="29"/>
  <c r="BA18" i="29"/>
  <c r="BA14" i="29"/>
  <c r="BA12" i="29"/>
  <c r="BA10" i="29"/>
  <c r="BA8" i="29"/>
  <c r="BA143" i="29"/>
  <c r="BA126" i="29"/>
  <c r="BA116" i="29"/>
  <c r="BA112" i="29"/>
  <c r="BA108" i="29"/>
  <c r="BA102" i="29"/>
  <c r="BA92" i="29"/>
  <c r="BA80" i="29"/>
  <c r="BA67" i="29"/>
  <c r="BA61" i="29"/>
  <c r="BA55" i="29"/>
  <c r="BA54" i="29" s="1"/>
  <c r="BA49" i="29"/>
  <c r="BA45" i="29"/>
  <c r="BA37" i="29"/>
  <c r="BA33" i="29"/>
  <c r="BA25" i="29"/>
  <c r="BA21" i="29"/>
  <c r="BA17" i="29"/>
  <c r="BA11" i="29"/>
  <c r="BA7" i="29"/>
  <c r="BA96" i="29"/>
  <c r="BA86" i="29"/>
  <c r="BA72" i="29"/>
  <c r="BA69" i="29"/>
  <c r="BA63" i="29"/>
  <c r="BA59" i="29"/>
  <c r="BA51" i="29"/>
  <c r="BA47" i="29"/>
  <c r="BA41" i="29"/>
  <c r="BA35" i="29"/>
  <c r="BA29" i="29"/>
  <c r="BA23" i="29"/>
  <c r="BA19" i="29"/>
  <c r="BA13" i="29"/>
  <c r="BA9" i="29"/>
  <c r="BB156" i="29"/>
  <c r="BB155" i="29"/>
  <c r="BB148" i="29"/>
  <c r="BB146" i="29"/>
  <c r="BB144" i="29"/>
  <c r="BB142" i="29"/>
  <c r="BB138" i="29"/>
  <c r="BB136" i="29"/>
  <c r="BB135" i="29"/>
  <c r="BB133" i="29"/>
  <c r="BB127" i="29"/>
  <c r="BB125" i="29"/>
  <c r="BB147" i="29"/>
  <c r="BB143" i="29"/>
  <c r="BB137" i="29"/>
  <c r="BB134" i="29"/>
  <c r="BB126" i="29"/>
  <c r="BB123" i="29"/>
  <c r="BB119" i="29"/>
  <c r="BB115" i="29"/>
  <c r="BB113" i="29"/>
  <c r="BB111" i="29"/>
  <c r="BB109" i="29"/>
  <c r="BB107" i="29"/>
  <c r="BB103" i="29"/>
  <c r="BB101" i="29"/>
  <c r="BB97" i="29"/>
  <c r="BB95" i="29"/>
  <c r="BB93" i="29"/>
  <c r="BB91" i="29"/>
  <c r="BB87" i="29"/>
  <c r="BB85" i="29"/>
  <c r="BB81" i="29"/>
  <c r="BB79" i="29"/>
  <c r="BB73" i="29"/>
  <c r="BB71" i="29"/>
  <c r="BB149" i="29"/>
  <c r="BB139" i="29"/>
  <c r="BB124" i="29"/>
  <c r="BB116" i="29"/>
  <c r="BB112" i="29"/>
  <c r="BB108" i="29"/>
  <c r="BB102" i="29"/>
  <c r="BB96" i="29"/>
  <c r="BB92" i="29"/>
  <c r="BB86" i="29"/>
  <c r="BB80" i="29"/>
  <c r="BB72"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5" i="29"/>
  <c r="BB130" i="29"/>
  <c r="BB129" i="29" s="1"/>
  <c r="BB120" i="29"/>
  <c r="BB114" i="29"/>
  <c r="BB110" i="29"/>
  <c r="BB104" i="29"/>
  <c r="BB94" i="29"/>
  <c r="BB84" i="29"/>
  <c r="BB70" i="29"/>
  <c r="BB69" i="29"/>
  <c r="BB63" i="29"/>
  <c r="BB59" i="29"/>
  <c r="BB51" i="29"/>
  <c r="BB47" i="29"/>
  <c r="BB41" i="29"/>
  <c r="BB35" i="29"/>
  <c r="BB29" i="29"/>
  <c r="BB23" i="29"/>
  <c r="BB19" i="29"/>
  <c r="BB13" i="29"/>
  <c r="BB9" i="29"/>
  <c r="BB98" i="29"/>
  <c r="BB90" i="29"/>
  <c r="BB78" i="29"/>
  <c r="BB67" i="29"/>
  <c r="BB61" i="29"/>
  <c r="BB55" i="29"/>
  <c r="BB54" i="29" s="1"/>
  <c r="BB49" i="29"/>
  <c r="BB45" i="29"/>
  <c r="BB37" i="29"/>
  <c r="BB33" i="29"/>
  <c r="BB25" i="29"/>
  <c r="BB21" i="29"/>
  <c r="BB17" i="29"/>
  <c r="BB11" i="29"/>
  <c r="BB7" i="29"/>
  <c r="BD3" i="23"/>
  <c r="BD165" i="29" s="1"/>
  <c r="BF3" i="23"/>
  <c r="BG3" i="23"/>
  <c r="BG8" i="23"/>
  <c r="BG9" i="23"/>
  <c r="BG9" i="29" s="1"/>
  <c r="BG10" i="23"/>
  <c r="BG11" i="23"/>
  <c r="BG11" i="29" s="1"/>
  <c r="BG12" i="23"/>
  <c r="BG13" i="23"/>
  <c r="BG13" i="29" s="1"/>
  <c r="BG14" i="23"/>
  <c r="BF8" i="23"/>
  <c r="BF8" i="29" s="1"/>
  <c r="BF9" i="23"/>
  <c r="BF9" i="29" s="1"/>
  <c r="BF10" i="23"/>
  <c r="BF10" i="29" s="1"/>
  <c r="BF11" i="23"/>
  <c r="BF11" i="29" s="1"/>
  <c r="BF12" i="23"/>
  <c r="BF12" i="29" s="1"/>
  <c r="BF13" i="23"/>
  <c r="BF13" i="29" s="1"/>
  <c r="BF14" i="23"/>
  <c r="BF14" i="29" s="1"/>
  <c r="BE8" i="23"/>
  <c r="BE9" i="23"/>
  <c r="BE9" i="29" s="1"/>
  <c r="BE10" i="23"/>
  <c r="BE11" i="23"/>
  <c r="BE11" i="29" s="1"/>
  <c r="BE12" i="23"/>
  <c r="BE13" i="23"/>
  <c r="BE13" i="29" s="1"/>
  <c r="BE14" i="23"/>
  <c r="BF7" i="23"/>
  <c r="BF7" i="29" s="1"/>
  <c r="BE7" i="23"/>
  <c r="BD156" i="23"/>
  <c r="BD155" i="23"/>
  <c r="BD143" i="23"/>
  <c r="BD143" i="29" s="1"/>
  <c r="BD144" i="23"/>
  <c r="BD145" i="23"/>
  <c r="BD145" i="29" s="1"/>
  <c r="BD146" i="23"/>
  <c r="BD147" i="23"/>
  <c r="BD147" i="29" s="1"/>
  <c r="BD148" i="23"/>
  <c r="BD149" i="23"/>
  <c r="BD149" i="29" s="1"/>
  <c r="BD142" i="23"/>
  <c r="BD134" i="23"/>
  <c r="BD134" i="29" s="1"/>
  <c r="BD135" i="23"/>
  <c r="BD136" i="23"/>
  <c r="BD136" i="29" s="1"/>
  <c r="BD137" i="23"/>
  <c r="BD138" i="23"/>
  <c r="BD138" i="29" s="1"/>
  <c r="BD139" i="23"/>
  <c r="BD133" i="23"/>
  <c r="BD133" i="29" s="1"/>
  <c r="BD130" i="23"/>
  <c r="BD124" i="23"/>
  <c r="BD124" i="29" s="1"/>
  <c r="BD125" i="23"/>
  <c r="BD126" i="23"/>
  <c r="BD126" i="29" s="1"/>
  <c r="BD127" i="23"/>
  <c r="BD123" i="23"/>
  <c r="BD123" i="29" s="1"/>
  <c r="BD120" i="23"/>
  <c r="BD119" i="23"/>
  <c r="BD119" i="29" s="1"/>
  <c r="BD108" i="23"/>
  <c r="BD109" i="23"/>
  <c r="BD110" i="23"/>
  <c r="BD111" i="23"/>
  <c r="BD112" i="23"/>
  <c r="BD113" i="23"/>
  <c r="BD113" i="29" s="1"/>
  <c r="BD114" i="23"/>
  <c r="BD115" i="23"/>
  <c r="BD115" i="29" s="1"/>
  <c r="BD116" i="23"/>
  <c r="BD107" i="23"/>
  <c r="BD102" i="23"/>
  <c r="BD103" i="23"/>
  <c r="BD103" i="29" s="1"/>
  <c r="BD104" i="23"/>
  <c r="BD101" i="23"/>
  <c r="BD101" i="29" s="1"/>
  <c r="BD91" i="23"/>
  <c r="BD92" i="23"/>
  <c r="BD92" i="29" s="1"/>
  <c r="BD93" i="23"/>
  <c r="BD94" i="23"/>
  <c r="BD94" i="29" s="1"/>
  <c r="BD95" i="23"/>
  <c r="BD96" i="23"/>
  <c r="BD96" i="29" s="1"/>
  <c r="BD97" i="23"/>
  <c r="BD98" i="23"/>
  <c r="BD90" i="23"/>
  <c r="BD85" i="23"/>
  <c r="BD86" i="23"/>
  <c r="BD87" i="23"/>
  <c r="BD84" i="23"/>
  <c r="BD79" i="23"/>
  <c r="BD80" i="23"/>
  <c r="BD81" i="23"/>
  <c r="BD81" i="29" s="1"/>
  <c r="BD78" i="23"/>
  <c r="BD67" i="23"/>
  <c r="BD67" i="29" s="1"/>
  <c r="BD68" i="23"/>
  <c r="BD69" i="23"/>
  <c r="BD69" i="29" s="1"/>
  <c r="BD70" i="23"/>
  <c r="BD71" i="23"/>
  <c r="BD71" i="29" s="1"/>
  <c r="BD72" i="23"/>
  <c r="BD73" i="23"/>
  <c r="BD73" i="29" s="1"/>
  <c r="BD66" i="23"/>
  <c r="BD59" i="23"/>
  <c r="BD59" i="29" s="1"/>
  <c r="BD60" i="23"/>
  <c r="BD61" i="23"/>
  <c r="BD61" i="29" s="1"/>
  <c r="BD62" i="23"/>
  <c r="BD63" i="23"/>
  <c r="BD63" i="29" s="1"/>
  <c r="BD58" i="23"/>
  <c r="BD55" i="23"/>
  <c r="BD46" i="23"/>
  <c r="BD47" i="23"/>
  <c r="BD47" i="29" s="1"/>
  <c r="BD48" i="23"/>
  <c r="BD49" i="23"/>
  <c r="BD50" i="23"/>
  <c r="BD51" i="23"/>
  <c r="BD52" i="23"/>
  <c r="BD45" i="23"/>
  <c r="BD45" i="29" s="1"/>
  <c r="BD42" i="23"/>
  <c r="BD41" i="23"/>
  <c r="BD41" i="29" s="1"/>
  <c r="BD34" i="23"/>
  <c r="BD35" i="23"/>
  <c r="BD35" i="29" s="1"/>
  <c r="BD36" i="23"/>
  <c r="BD37" i="23"/>
  <c r="BD38" i="23"/>
  <c r="BD33" i="23"/>
  <c r="BD30" i="23"/>
  <c r="BD29" i="23"/>
  <c r="BD29" i="29" s="1"/>
  <c r="BD18" i="23"/>
  <c r="BD19" i="23"/>
  <c r="BD19" i="29" s="1"/>
  <c r="BD20" i="23"/>
  <c r="BD21" i="23"/>
  <c r="BD21" i="29" s="1"/>
  <c r="BD22" i="23"/>
  <c r="BD23" i="23"/>
  <c r="BD23" i="29" s="1"/>
  <c r="BD24" i="23"/>
  <c r="BD25" i="23"/>
  <c r="BD25" i="29" s="1"/>
  <c r="BD26" i="23"/>
  <c r="BD17" i="23"/>
  <c r="BD17" i="29" s="1"/>
  <c r="BD8" i="23"/>
  <c r="BD9" i="23"/>
  <c r="BD9" i="29" s="1"/>
  <c r="BD10" i="23"/>
  <c r="BD11" i="23"/>
  <c r="BD11" i="29" s="1"/>
  <c r="BD12" i="23"/>
  <c r="BD13" i="23"/>
  <c r="BD13" i="29" s="1"/>
  <c r="BD14" i="23"/>
  <c r="BD7" i="23"/>
  <c r="BD7" i="29" s="1"/>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E158" i="23"/>
  <c r="BF158" i="23"/>
  <c r="BG158" i="23"/>
  <c r="F154" i="23"/>
  <c r="G154" i="23"/>
  <c r="H154" i="23"/>
  <c r="I154" i="23"/>
  <c r="J154" i="23"/>
  <c r="K154" i="23"/>
  <c r="L154" i="23"/>
  <c r="M154" i="23"/>
  <c r="N154" i="23"/>
  <c r="O154" i="23"/>
  <c r="P154" i="23"/>
  <c r="Q154" i="23"/>
  <c r="R154" i="23"/>
  <c r="S154" i="23"/>
  <c r="T154" i="23"/>
  <c r="U154" i="23"/>
  <c r="V154" i="23"/>
  <c r="W154" i="23"/>
  <c r="X154" i="23"/>
  <c r="Y154" i="23"/>
  <c r="Z154" i="23"/>
  <c r="AA154" i="23"/>
  <c r="AB154" i="23"/>
  <c r="AC154" i="23"/>
  <c r="AD154" i="23"/>
  <c r="AE154" i="23"/>
  <c r="AF154" i="23"/>
  <c r="AG154" i="23"/>
  <c r="AH154" i="23"/>
  <c r="AI154" i="23"/>
  <c r="AJ154" i="23"/>
  <c r="AK154" i="23"/>
  <c r="AK54" i="42" s="1"/>
  <c r="AK23" i="35" s="1"/>
  <c r="AL154" i="23"/>
  <c r="AM154" i="23"/>
  <c r="AN154" i="23"/>
  <c r="AO154" i="23"/>
  <c r="AP154" i="23"/>
  <c r="AQ154" i="23"/>
  <c r="AR154" i="23"/>
  <c r="AS154" i="23"/>
  <c r="AT154" i="23"/>
  <c r="AU154" i="23"/>
  <c r="AV154" i="23"/>
  <c r="AW154" i="23"/>
  <c r="AX154" i="23"/>
  <c r="AY154" i="23"/>
  <c r="AY54" i="42" s="1"/>
  <c r="AY23" i="35" s="1"/>
  <c r="AZ154" i="23"/>
  <c r="BA154" i="23"/>
  <c r="BB154" i="23"/>
  <c r="BC154" i="23"/>
  <c r="BE154" i="23"/>
  <c r="BE54" i="42" s="1"/>
  <c r="BF154" i="23"/>
  <c r="BF54" i="42" s="1"/>
  <c r="BG154" i="23"/>
  <c r="BG54" i="42" s="1"/>
  <c r="F141" i="23"/>
  <c r="F53" i="42" s="1"/>
  <c r="F12" i="36" s="1"/>
  <c r="G141" i="23"/>
  <c r="G53" i="42" s="1"/>
  <c r="G12" i="36" s="1"/>
  <c r="H141" i="23"/>
  <c r="H53" i="42" s="1"/>
  <c r="H12" i="36" s="1"/>
  <c r="I141" i="23"/>
  <c r="I53" i="42" s="1"/>
  <c r="I12" i="36" s="1"/>
  <c r="J141" i="23"/>
  <c r="J53" i="42" s="1"/>
  <c r="J12" i="36" s="1"/>
  <c r="K141" i="23"/>
  <c r="K53" i="42" s="1"/>
  <c r="K12" i="36" s="1"/>
  <c r="L141" i="23"/>
  <c r="L53" i="42" s="1"/>
  <c r="L12" i="36" s="1"/>
  <c r="M141" i="23"/>
  <c r="M53" i="42" s="1"/>
  <c r="M12" i="36" s="1"/>
  <c r="N141" i="23"/>
  <c r="N53" i="42" s="1"/>
  <c r="N12" i="36" s="1"/>
  <c r="O141" i="23"/>
  <c r="O53" i="42" s="1"/>
  <c r="O12" i="36" s="1"/>
  <c r="P141" i="23"/>
  <c r="P53" i="42" s="1"/>
  <c r="P12" i="36" s="1"/>
  <c r="Q141" i="23"/>
  <c r="Q53" i="42" s="1"/>
  <c r="Q12" i="36" s="1"/>
  <c r="R141" i="23"/>
  <c r="R53" i="42" s="1"/>
  <c r="R12" i="36" s="1"/>
  <c r="S141" i="23"/>
  <c r="S53" i="42" s="1"/>
  <c r="S12" i="36" s="1"/>
  <c r="T141" i="23"/>
  <c r="T53" i="42" s="1"/>
  <c r="T12" i="36" s="1"/>
  <c r="U141" i="23"/>
  <c r="U53" i="42" s="1"/>
  <c r="U12" i="36" s="1"/>
  <c r="V141" i="23"/>
  <c r="V53" i="42" s="1"/>
  <c r="V12" i="36" s="1"/>
  <c r="W141" i="23"/>
  <c r="W53" i="42" s="1"/>
  <c r="W12" i="36" s="1"/>
  <c r="X141" i="23"/>
  <c r="X53" i="42" s="1"/>
  <c r="X12" i="36" s="1"/>
  <c r="Y141" i="23"/>
  <c r="Y53" i="42" s="1"/>
  <c r="Y12" i="36" s="1"/>
  <c r="Z141" i="23"/>
  <c r="Z53" i="42" s="1"/>
  <c r="Z12" i="36" s="1"/>
  <c r="AA141" i="23"/>
  <c r="AA53" i="42" s="1"/>
  <c r="AA12" i="36" s="1"/>
  <c r="AB141" i="23"/>
  <c r="AB53" i="42" s="1"/>
  <c r="AB12" i="36" s="1"/>
  <c r="AC141" i="23"/>
  <c r="AC53" i="42" s="1"/>
  <c r="AC12" i="36" s="1"/>
  <c r="AD141" i="23"/>
  <c r="AD53" i="42" s="1"/>
  <c r="AD12" i="36" s="1"/>
  <c r="AE141" i="23"/>
  <c r="AE53" i="42" s="1"/>
  <c r="AE12" i="36" s="1"/>
  <c r="AF141" i="23"/>
  <c r="AF53" i="42" s="1"/>
  <c r="AF12" i="36" s="1"/>
  <c r="AG141" i="23"/>
  <c r="AG53" i="42" s="1"/>
  <c r="AG12" i="36" s="1"/>
  <c r="AH141" i="23"/>
  <c r="AH53" i="42" s="1"/>
  <c r="AH12" i="36" s="1"/>
  <c r="AI141" i="23"/>
  <c r="AI53" i="42" s="1"/>
  <c r="AI12" i="36" s="1"/>
  <c r="AJ141" i="23"/>
  <c r="AJ53" i="42" s="1"/>
  <c r="AJ12" i="36" s="1"/>
  <c r="AK141" i="23"/>
  <c r="AK53" i="42" s="1"/>
  <c r="AK12" i="36" s="1"/>
  <c r="AL141" i="23"/>
  <c r="AL53" i="42" s="1"/>
  <c r="AL12" i="36" s="1"/>
  <c r="AM141" i="23"/>
  <c r="AM53" i="42" s="1"/>
  <c r="AM12" i="36" s="1"/>
  <c r="AN141" i="23"/>
  <c r="AN53" i="42" s="1"/>
  <c r="AN12" i="36" s="1"/>
  <c r="AO141" i="23"/>
  <c r="AO53" i="42" s="1"/>
  <c r="AO12" i="36" s="1"/>
  <c r="AP141" i="23"/>
  <c r="AP53" i="42" s="1"/>
  <c r="AP12" i="36" s="1"/>
  <c r="AQ141" i="23"/>
  <c r="AQ53" i="42" s="1"/>
  <c r="AQ12" i="36" s="1"/>
  <c r="AR141" i="23"/>
  <c r="AR53" i="42" s="1"/>
  <c r="AR12" i="36" s="1"/>
  <c r="AS141" i="23"/>
  <c r="AS53" i="42" s="1"/>
  <c r="AS12" i="36" s="1"/>
  <c r="AT141" i="23"/>
  <c r="AT53" i="42" s="1"/>
  <c r="AT12" i="36" s="1"/>
  <c r="AU141" i="23"/>
  <c r="AU53" i="42" s="1"/>
  <c r="AU12" i="36" s="1"/>
  <c r="AV141" i="23"/>
  <c r="AV53" i="42" s="1"/>
  <c r="AV12" i="36" s="1"/>
  <c r="AW141" i="23"/>
  <c r="AW53" i="42" s="1"/>
  <c r="AW12" i="36" s="1"/>
  <c r="AX141" i="23"/>
  <c r="AX53" i="42" s="1"/>
  <c r="AX12" i="36" s="1"/>
  <c r="AY141" i="23"/>
  <c r="AY53" i="42" s="1"/>
  <c r="AY12" i="36" s="1"/>
  <c r="AZ141" i="23"/>
  <c r="AZ53" i="42" s="1"/>
  <c r="AZ12" i="36" s="1"/>
  <c r="BA141" i="23"/>
  <c r="BA53" i="42" s="1"/>
  <c r="BA12" i="36" s="1"/>
  <c r="BB141" i="23"/>
  <c r="BB53" i="42" s="1"/>
  <c r="BB12" i="36" s="1"/>
  <c r="BC141" i="23"/>
  <c r="BC53" i="42" s="1"/>
  <c r="BC12" i="36" s="1"/>
  <c r="BE141" i="23"/>
  <c r="BE53" i="42" s="1"/>
  <c r="BF141" i="23"/>
  <c r="BF53" i="42" s="1"/>
  <c r="BG141" i="23"/>
  <c r="BG53" i="42" s="1"/>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E132" i="23"/>
  <c r="BF132" i="23"/>
  <c r="BG132" i="23"/>
  <c r="F129" i="23"/>
  <c r="F50" i="42" s="1"/>
  <c r="F11" i="36" s="1"/>
  <c r="G129" i="23"/>
  <c r="G50" i="42" s="1"/>
  <c r="G11" i="36" s="1"/>
  <c r="H129" i="23"/>
  <c r="H50" i="42" s="1"/>
  <c r="H11" i="36" s="1"/>
  <c r="I129" i="23"/>
  <c r="I50" i="42" s="1"/>
  <c r="I11" i="36" s="1"/>
  <c r="J129" i="23"/>
  <c r="J50" i="42" s="1"/>
  <c r="J11" i="36" s="1"/>
  <c r="K129" i="23"/>
  <c r="K50" i="42" s="1"/>
  <c r="K11" i="36" s="1"/>
  <c r="L129" i="23"/>
  <c r="L50" i="42" s="1"/>
  <c r="L11" i="36" s="1"/>
  <c r="M129" i="23"/>
  <c r="M50" i="42" s="1"/>
  <c r="M11" i="36" s="1"/>
  <c r="N129" i="23"/>
  <c r="N50" i="42" s="1"/>
  <c r="N11" i="36" s="1"/>
  <c r="O129" i="23"/>
  <c r="O50" i="42" s="1"/>
  <c r="O11" i="36" s="1"/>
  <c r="P129" i="23"/>
  <c r="P50" i="42" s="1"/>
  <c r="P11" i="36" s="1"/>
  <c r="Q129" i="23"/>
  <c r="Q50" i="42" s="1"/>
  <c r="Q11" i="36" s="1"/>
  <c r="R129" i="23"/>
  <c r="R50" i="42" s="1"/>
  <c r="R11" i="36" s="1"/>
  <c r="S129" i="23"/>
  <c r="S50" i="42" s="1"/>
  <c r="S11" i="36" s="1"/>
  <c r="T129" i="23"/>
  <c r="T50" i="42" s="1"/>
  <c r="T11" i="36" s="1"/>
  <c r="U129" i="23"/>
  <c r="U50" i="42" s="1"/>
  <c r="U11" i="36" s="1"/>
  <c r="V129" i="23"/>
  <c r="V50" i="42" s="1"/>
  <c r="V11" i="36" s="1"/>
  <c r="W129" i="23"/>
  <c r="W50" i="42" s="1"/>
  <c r="W11" i="36" s="1"/>
  <c r="X129" i="23"/>
  <c r="X50" i="42" s="1"/>
  <c r="X11" i="36" s="1"/>
  <c r="Y129" i="23"/>
  <c r="Y50" i="42" s="1"/>
  <c r="Y11" i="36" s="1"/>
  <c r="Z129" i="23"/>
  <c r="Z50" i="42" s="1"/>
  <c r="Z11" i="36" s="1"/>
  <c r="AA129" i="23"/>
  <c r="AA50" i="42" s="1"/>
  <c r="AA11" i="36" s="1"/>
  <c r="AB129" i="23"/>
  <c r="AB50" i="42" s="1"/>
  <c r="AB11" i="36" s="1"/>
  <c r="AC129" i="23"/>
  <c r="AC50" i="42" s="1"/>
  <c r="AC11" i="36" s="1"/>
  <c r="AD129" i="23"/>
  <c r="AD50" i="42" s="1"/>
  <c r="AD11" i="36" s="1"/>
  <c r="AE129" i="23"/>
  <c r="AE50" i="42" s="1"/>
  <c r="AE11" i="36" s="1"/>
  <c r="AF129" i="23"/>
  <c r="AF50" i="42" s="1"/>
  <c r="AF11" i="36" s="1"/>
  <c r="AG129" i="23"/>
  <c r="AG50" i="42" s="1"/>
  <c r="AG11" i="36" s="1"/>
  <c r="AH129" i="23"/>
  <c r="AH50" i="42" s="1"/>
  <c r="AH11" i="36" s="1"/>
  <c r="AI129" i="23"/>
  <c r="AI50" i="42" s="1"/>
  <c r="AI11" i="36" s="1"/>
  <c r="AJ129" i="23"/>
  <c r="AJ50" i="42" s="1"/>
  <c r="AJ11" i="36" s="1"/>
  <c r="AK129" i="23"/>
  <c r="AK50" i="42" s="1"/>
  <c r="AK11" i="36" s="1"/>
  <c r="AL129" i="23"/>
  <c r="AL50" i="42" s="1"/>
  <c r="AL11" i="36" s="1"/>
  <c r="AM129" i="23"/>
  <c r="AM50" i="42" s="1"/>
  <c r="AM11" i="36" s="1"/>
  <c r="AN129" i="23"/>
  <c r="AN50" i="42" s="1"/>
  <c r="AN11" i="36" s="1"/>
  <c r="AO129" i="23"/>
  <c r="AO50" i="42" s="1"/>
  <c r="AO11" i="36" s="1"/>
  <c r="AP129" i="23"/>
  <c r="AP50" i="42" s="1"/>
  <c r="AP11" i="36" s="1"/>
  <c r="AQ129" i="23"/>
  <c r="AQ50" i="42" s="1"/>
  <c r="AQ11" i="36" s="1"/>
  <c r="AR129" i="23"/>
  <c r="AR50" i="42" s="1"/>
  <c r="AR11" i="36" s="1"/>
  <c r="AS129" i="23"/>
  <c r="AS50" i="42" s="1"/>
  <c r="AS11" i="36" s="1"/>
  <c r="AT129" i="23"/>
  <c r="AT50" i="42" s="1"/>
  <c r="AT11" i="36" s="1"/>
  <c r="AU129" i="23"/>
  <c r="AU50" i="42" s="1"/>
  <c r="AU11" i="36" s="1"/>
  <c r="AV129" i="23"/>
  <c r="AV50" i="42" s="1"/>
  <c r="AV11" i="36" s="1"/>
  <c r="AW129" i="23"/>
  <c r="AW50" i="42" s="1"/>
  <c r="AW11" i="36" s="1"/>
  <c r="AX129" i="23"/>
  <c r="AX50" i="42" s="1"/>
  <c r="AX11" i="36" s="1"/>
  <c r="AY129" i="23"/>
  <c r="AY50" i="42" s="1"/>
  <c r="AY11" i="36" s="1"/>
  <c r="AZ129" i="23"/>
  <c r="AZ50" i="42" s="1"/>
  <c r="AZ11" i="36" s="1"/>
  <c r="BA129" i="23"/>
  <c r="BA50" i="42" s="1"/>
  <c r="BA11" i="36" s="1"/>
  <c r="BB129" i="23"/>
  <c r="BB50" i="42" s="1"/>
  <c r="BB11" i="36" s="1"/>
  <c r="BC129" i="23"/>
  <c r="BC50" i="42" s="1"/>
  <c r="BC11" i="36" s="1"/>
  <c r="BE129" i="23"/>
  <c r="BE50" i="42" s="1"/>
  <c r="BF129" i="23"/>
  <c r="BF50" i="42" s="1"/>
  <c r="BG129" i="23"/>
  <c r="BG50" i="42" s="1"/>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E122" i="23"/>
  <c r="BF122" i="23"/>
  <c r="BG122" i="23"/>
  <c r="F118" i="23"/>
  <c r="F47" i="42" s="1"/>
  <c r="F26" i="35" s="1"/>
  <c r="G118" i="23"/>
  <c r="G47" i="42" s="1"/>
  <c r="G26" i="35" s="1"/>
  <c r="H118" i="23"/>
  <c r="H47" i="42" s="1"/>
  <c r="H26" i="35" s="1"/>
  <c r="I118" i="23"/>
  <c r="I47" i="42" s="1"/>
  <c r="I26" i="35" s="1"/>
  <c r="J118" i="23"/>
  <c r="J47" i="42" s="1"/>
  <c r="J26" i="35" s="1"/>
  <c r="K118" i="23"/>
  <c r="K47" i="42" s="1"/>
  <c r="K26" i="35" s="1"/>
  <c r="L118" i="23"/>
  <c r="L47" i="42" s="1"/>
  <c r="L26" i="35" s="1"/>
  <c r="M118" i="23"/>
  <c r="M47" i="42" s="1"/>
  <c r="M26" i="35" s="1"/>
  <c r="N118" i="23"/>
  <c r="N47" i="42" s="1"/>
  <c r="N26" i="35" s="1"/>
  <c r="O118" i="23"/>
  <c r="O47" i="42" s="1"/>
  <c r="O26" i="35" s="1"/>
  <c r="P118" i="23"/>
  <c r="P47" i="42" s="1"/>
  <c r="P26" i="35" s="1"/>
  <c r="Q118" i="23"/>
  <c r="Q47" i="42" s="1"/>
  <c r="Q26" i="35" s="1"/>
  <c r="R118" i="23"/>
  <c r="R47" i="42" s="1"/>
  <c r="R26" i="35" s="1"/>
  <c r="S118" i="23"/>
  <c r="S47" i="42" s="1"/>
  <c r="S26" i="35" s="1"/>
  <c r="T118" i="23"/>
  <c r="T47" i="42" s="1"/>
  <c r="T26" i="35" s="1"/>
  <c r="U118" i="23"/>
  <c r="U47" i="42" s="1"/>
  <c r="U26" i="35" s="1"/>
  <c r="V118" i="23"/>
  <c r="V47" i="42" s="1"/>
  <c r="V26" i="35" s="1"/>
  <c r="W118" i="23"/>
  <c r="W47" i="42" s="1"/>
  <c r="W26" i="35" s="1"/>
  <c r="X118" i="23"/>
  <c r="X47" i="42" s="1"/>
  <c r="X26" i="35" s="1"/>
  <c r="Y118" i="23"/>
  <c r="Y47" i="42" s="1"/>
  <c r="Y26" i="35" s="1"/>
  <c r="Z118" i="23"/>
  <c r="Z47" i="42" s="1"/>
  <c r="Z26" i="35" s="1"/>
  <c r="AA118" i="23"/>
  <c r="AA47" i="42" s="1"/>
  <c r="AA26" i="35" s="1"/>
  <c r="AB118" i="23"/>
  <c r="AB47" i="42" s="1"/>
  <c r="AB26" i="35" s="1"/>
  <c r="AC118" i="23"/>
  <c r="AC47" i="42" s="1"/>
  <c r="AC26" i="35" s="1"/>
  <c r="AD118" i="23"/>
  <c r="AD47" i="42" s="1"/>
  <c r="AD26" i="35" s="1"/>
  <c r="AE118" i="23"/>
  <c r="AE47" i="42" s="1"/>
  <c r="AE26" i="35" s="1"/>
  <c r="AF118" i="23"/>
  <c r="AF47" i="42" s="1"/>
  <c r="AF26" i="35" s="1"/>
  <c r="AG118" i="23"/>
  <c r="AG47" i="42" s="1"/>
  <c r="AG26" i="35" s="1"/>
  <c r="AH118" i="23"/>
  <c r="AH47" i="42" s="1"/>
  <c r="AH26" i="35" s="1"/>
  <c r="AI118" i="23"/>
  <c r="AI47" i="42" s="1"/>
  <c r="AI26" i="35" s="1"/>
  <c r="AJ118" i="23"/>
  <c r="AJ47" i="42" s="1"/>
  <c r="AJ26" i="35" s="1"/>
  <c r="AK118" i="23"/>
  <c r="AK47" i="42" s="1"/>
  <c r="AK26" i="35" s="1"/>
  <c r="AL118" i="23"/>
  <c r="AL47" i="42" s="1"/>
  <c r="AL26" i="35" s="1"/>
  <c r="AM118" i="23"/>
  <c r="AM47" i="42" s="1"/>
  <c r="AM26" i="35" s="1"/>
  <c r="AN118" i="23"/>
  <c r="AN47" i="42" s="1"/>
  <c r="AN26" i="35" s="1"/>
  <c r="AO118" i="23"/>
  <c r="AO47" i="42" s="1"/>
  <c r="AO26" i="35" s="1"/>
  <c r="AP118" i="23"/>
  <c r="AP47" i="42" s="1"/>
  <c r="AP26" i="35" s="1"/>
  <c r="AQ118" i="23"/>
  <c r="AQ47" i="42" s="1"/>
  <c r="AQ26" i="35" s="1"/>
  <c r="AR118" i="23"/>
  <c r="AR47" i="42" s="1"/>
  <c r="AR26" i="35" s="1"/>
  <c r="AS118" i="23"/>
  <c r="AS47" i="42" s="1"/>
  <c r="AS26" i="35" s="1"/>
  <c r="AT118" i="23"/>
  <c r="AT47" i="42" s="1"/>
  <c r="AT26" i="35" s="1"/>
  <c r="AU118" i="23"/>
  <c r="AU47" i="42" s="1"/>
  <c r="AU26" i="35" s="1"/>
  <c r="AV118" i="23"/>
  <c r="AV47" i="42" s="1"/>
  <c r="AV26" i="35" s="1"/>
  <c r="AW118" i="23"/>
  <c r="AW47" i="42" s="1"/>
  <c r="AW26" i="35" s="1"/>
  <c r="AX118" i="23"/>
  <c r="AX47" i="42" s="1"/>
  <c r="AX26" i="35" s="1"/>
  <c r="AY118" i="23"/>
  <c r="AY47" i="42" s="1"/>
  <c r="AY26" i="35" s="1"/>
  <c r="AZ118" i="23"/>
  <c r="AZ47" i="42" s="1"/>
  <c r="AZ26" i="35" s="1"/>
  <c r="BA118" i="23"/>
  <c r="BA47" i="42" s="1"/>
  <c r="BA26" i="35" s="1"/>
  <c r="BB118" i="23"/>
  <c r="BB47" i="42" s="1"/>
  <c r="BB26" i="35" s="1"/>
  <c r="BC118" i="23"/>
  <c r="BC47" i="42" s="1"/>
  <c r="BC26" i="35" s="1"/>
  <c r="BE118" i="23"/>
  <c r="BE47" i="42" s="1"/>
  <c r="BF118" i="23"/>
  <c r="BF47" i="42" s="1"/>
  <c r="BG118" i="23"/>
  <c r="BG47" i="42" s="1"/>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E106" i="23"/>
  <c r="BF106" i="23"/>
  <c r="BG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E100" i="23"/>
  <c r="BF100" i="23"/>
  <c r="BG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E89" i="23"/>
  <c r="BF89" i="23"/>
  <c r="BG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E83" i="23"/>
  <c r="BF83" i="23"/>
  <c r="BG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Z77" i="23"/>
  <c r="BA77" i="23"/>
  <c r="BB77" i="23"/>
  <c r="BC77" i="23"/>
  <c r="BE77" i="23"/>
  <c r="BF77" i="23"/>
  <c r="BG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E65" i="23"/>
  <c r="BF65" i="23"/>
  <c r="BG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E57" i="23"/>
  <c r="BF57" i="23"/>
  <c r="BG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E54" i="23"/>
  <c r="BF54" i="23"/>
  <c r="BG54" i="23"/>
  <c r="F44" i="23"/>
  <c r="F26" i="42" s="1"/>
  <c r="F12" i="37" s="1"/>
  <c r="G44" i="23"/>
  <c r="G26" i="42" s="1"/>
  <c r="G12" i="37" s="1"/>
  <c r="H44" i="23"/>
  <c r="H26" i="42" s="1"/>
  <c r="H12" i="37" s="1"/>
  <c r="I44" i="23"/>
  <c r="I26" i="42" s="1"/>
  <c r="I12" i="37" s="1"/>
  <c r="J44" i="23"/>
  <c r="J26" i="42" s="1"/>
  <c r="J12" i="37" s="1"/>
  <c r="K44" i="23"/>
  <c r="K26" i="42" s="1"/>
  <c r="K12" i="37" s="1"/>
  <c r="L44" i="23"/>
  <c r="L26" i="42" s="1"/>
  <c r="L12" i="37" s="1"/>
  <c r="M44" i="23"/>
  <c r="M26" i="42" s="1"/>
  <c r="M12" i="37" s="1"/>
  <c r="N44" i="23"/>
  <c r="N26" i="42" s="1"/>
  <c r="N12" i="37" s="1"/>
  <c r="O44" i="23"/>
  <c r="O26" i="42" s="1"/>
  <c r="O12" i="37" s="1"/>
  <c r="P44" i="23"/>
  <c r="P26" i="42" s="1"/>
  <c r="P12" i="37" s="1"/>
  <c r="Q44" i="23"/>
  <c r="Q26" i="42" s="1"/>
  <c r="Q12" i="37" s="1"/>
  <c r="R44" i="23"/>
  <c r="R26" i="42" s="1"/>
  <c r="R12" i="37" s="1"/>
  <c r="S44" i="23"/>
  <c r="S26" i="42" s="1"/>
  <c r="S12" i="37" s="1"/>
  <c r="T44" i="23"/>
  <c r="T26" i="42" s="1"/>
  <c r="T12" i="37" s="1"/>
  <c r="U44" i="23"/>
  <c r="U26" i="42" s="1"/>
  <c r="U12" i="37" s="1"/>
  <c r="V44" i="23"/>
  <c r="V26" i="42" s="1"/>
  <c r="V12" i="37" s="1"/>
  <c r="W44" i="23"/>
  <c r="W26" i="42" s="1"/>
  <c r="W12" i="37" s="1"/>
  <c r="X44" i="23"/>
  <c r="X26" i="42" s="1"/>
  <c r="X12" i="37" s="1"/>
  <c r="Y44" i="23"/>
  <c r="Y26" i="42" s="1"/>
  <c r="Y12" i="37" s="1"/>
  <c r="Z44" i="23"/>
  <c r="Z26" i="42" s="1"/>
  <c r="Z12" i="37" s="1"/>
  <c r="AA44" i="23"/>
  <c r="AA26" i="42" s="1"/>
  <c r="AA12" i="37" s="1"/>
  <c r="AB44" i="23"/>
  <c r="AB26" i="42" s="1"/>
  <c r="AB12" i="37" s="1"/>
  <c r="AC44" i="23"/>
  <c r="AC26" i="42" s="1"/>
  <c r="AC12" i="37" s="1"/>
  <c r="AD44" i="23"/>
  <c r="AD26" i="42" s="1"/>
  <c r="AD12" i="37" s="1"/>
  <c r="AE44" i="23"/>
  <c r="AE26" i="42" s="1"/>
  <c r="AE12" i="37" s="1"/>
  <c r="AF44" i="23"/>
  <c r="AF26" i="42" s="1"/>
  <c r="AF12" i="37" s="1"/>
  <c r="AG44" i="23"/>
  <c r="AG26" i="42" s="1"/>
  <c r="AG12" i="37" s="1"/>
  <c r="AH44" i="23"/>
  <c r="AH26" i="42" s="1"/>
  <c r="AH12" i="37" s="1"/>
  <c r="AI44" i="23"/>
  <c r="AI26" i="42" s="1"/>
  <c r="AI12" i="37" s="1"/>
  <c r="AJ44" i="23"/>
  <c r="AJ26" i="42" s="1"/>
  <c r="AJ12" i="37" s="1"/>
  <c r="AK44" i="23"/>
  <c r="AK26" i="42" s="1"/>
  <c r="AK12" i="37" s="1"/>
  <c r="AL44" i="23"/>
  <c r="AL26" i="42" s="1"/>
  <c r="AL12" i="37" s="1"/>
  <c r="AM44" i="23"/>
  <c r="AM26" i="42" s="1"/>
  <c r="AM12" i="37" s="1"/>
  <c r="AN44" i="23"/>
  <c r="AN26" i="42" s="1"/>
  <c r="AN12" i="37" s="1"/>
  <c r="AO44" i="23"/>
  <c r="AO26" i="42" s="1"/>
  <c r="AO12" i="37" s="1"/>
  <c r="AP44" i="23"/>
  <c r="AP26" i="42" s="1"/>
  <c r="AP12" i="37" s="1"/>
  <c r="AQ44" i="23"/>
  <c r="AQ26" i="42" s="1"/>
  <c r="AQ12" i="37" s="1"/>
  <c r="AR44" i="23"/>
  <c r="AR26" i="42" s="1"/>
  <c r="AR12" i="37" s="1"/>
  <c r="AS44" i="23"/>
  <c r="AS26" i="42" s="1"/>
  <c r="AS12" i="37" s="1"/>
  <c r="AT44" i="23"/>
  <c r="AT26" i="42" s="1"/>
  <c r="AT12" i="37" s="1"/>
  <c r="AU44" i="23"/>
  <c r="AU26" i="42" s="1"/>
  <c r="AU12" i="37" s="1"/>
  <c r="AV44" i="23"/>
  <c r="AV26" i="42" s="1"/>
  <c r="AV12" i="37" s="1"/>
  <c r="AW44" i="23"/>
  <c r="AW26" i="42" s="1"/>
  <c r="AW12" i="37" s="1"/>
  <c r="AX44" i="23"/>
  <c r="AX26" i="42" s="1"/>
  <c r="AX12" i="37" s="1"/>
  <c r="AY44" i="23"/>
  <c r="AY26" i="42" s="1"/>
  <c r="AY12" i="37" s="1"/>
  <c r="AZ44" i="23"/>
  <c r="AZ26" i="42" s="1"/>
  <c r="AZ12" i="37" s="1"/>
  <c r="BA44" i="23"/>
  <c r="BA26" i="42" s="1"/>
  <c r="BA12" i="37" s="1"/>
  <c r="BB44" i="23"/>
  <c r="BB26" i="42" s="1"/>
  <c r="BB12" i="37" s="1"/>
  <c r="BC44" i="23"/>
  <c r="BC26" i="42" s="1"/>
  <c r="BC12" i="37" s="1"/>
  <c r="BE44" i="23"/>
  <c r="BE26" i="42" s="1"/>
  <c r="BF44" i="23"/>
  <c r="BF26" i="42" s="1"/>
  <c r="BG44" i="23"/>
  <c r="BG26" i="42" s="1"/>
  <c r="F40" i="23"/>
  <c r="F25" i="42" s="1"/>
  <c r="F25" i="35" s="1"/>
  <c r="G40" i="23"/>
  <c r="G25" i="42" s="1"/>
  <c r="G25" i="35" s="1"/>
  <c r="H40" i="23"/>
  <c r="H25" i="42" s="1"/>
  <c r="H25" i="35" s="1"/>
  <c r="I40" i="23"/>
  <c r="I25" i="42" s="1"/>
  <c r="I25" i="35" s="1"/>
  <c r="J40" i="23"/>
  <c r="J25" i="42" s="1"/>
  <c r="J25" i="35" s="1"/>
  <c r="K40" i="23"/>
  <c r="K25" i="42" s="1"/>
  <c r="K25" i="35" s="1"/>
  <c r="L40" i="23"/>
  <c r="L25" i="42" s="1"/>
  <c r="L25" i="35" s="1"/>
  <c r="M40" i="23"/>
  <c r="M25" i="42" s="1"/>
  <c r="M25" i="35" s="1"/>
  <c r="O40" i="23"/>
  <c r="O25" i="42" s="1"/>
  <c r="O25" i="35" s="1"/>
  <c r="P40" i="23"/>
  <c r="P25" i="42" s="1"/>
  <c r="P25" i="35" s="1"/>
  <c r="Q40" i="23"/>
  <c r="Q25" i="42" s="1"/>
  <c r="Q25" i="35" s="1"/>
  <c r="R40" i="23"/>
  <c r="R25" i="42" s="1"/>
  <c r="R25" i="35" s="1"/>
  <c r="S40" i="23"/>
  <c r="S25" i="42" s="1"/>
  <c r="S25" i="35" s="1"/>
  <c r="T40" i="23"/>
  <c r="T25" i="42" s="1"/>
  <c r="T25" i="35" s="1"/>
  <c r="U40" i="23"/>
  <c r="U25" i="42" s="1"/>
  <c r="U25" i="35" s="1"/>
  <c r="V40" i="23"/>
  <c r="V25" i="42" s="1"/>
  <c r="V25" i="35" s="1"/>
  <c r="W40" i="23"/>
  <c r="W25" i="42" s="1"/>
  <c r="W25" i="35" s="1"/>
  <c r="X40" i="23"/>
  <c r="X25" i="42" s="1"/>
  <c r="X25" i="35" s="1"/>
  <c r="Y40" i="23"/>
  <c r="Y25" i="42" s="1"/>
  <c r="Y25" i="35" s="1"/>
  <c r="Z40" i="23"/>
  <c r="Z25" i="42" s="1"/>
  <c r="Z25" i="35" s="1"/>
  <c r="AA40" i="23"/>
  <c r="AA25" i="42" s="1"/>
  <c r="AA25" i="35" s="1"/>
  <c r="AB40" i="23"/>
  <c r="AB25" i="42" s="1"/>
  <c r="AB25" i="35" s="1"/>
  <c r="AC40" i="23"/>
  <c r="AC25" i="42" s="1"/>
  <c r="AC25" i="35" s="1"/>
  <c r="AD40" i="23"/>
  <c r="AD25" i="42" s="1"/>
  <c r="AD25" i="35" s="1"/>
  <c r="AE40" i="23"/>
  <c r="AE25" i="42" s="1"/>
  <c r="AE25" i="35" s="1"/>
  <c r="AF40" i="23"/>
  <c r="AF25" i="42" s="1"/>
  <c r="AF25" i="35" s="1"/>
  <c r="AG40" i="23"/>
  <c r="AG25" i="42" s="1"/>
  <c r="AG25" i="35" s="1"/>
  <c r="AH40" i="23"/>
  <c r="AH25" i="42" s="1"/>
  <c r="AH25" i="35" s="1"/>
  <c r="AI40" i="23"/>
  <c r="AI25" i="42" s="1"/>
  <c r="AI25" i="35" s="1"/>
  <c r="AJ40" i="23"/>
  <c r="AJ25" i="42" s="1"/>
  <c r="AJ25" i="35" s="1"/>
  <c r="AK40" i="23"/>
  <c r="AK25" i="42" s="1"/>
  <c r="AK25" i="35" s="1"/>
  <c r="AL40" i="23"/>
  <c r="AL25" i="42" s="1"/>
  <c r="AL25" i="35" s="1"/>
  <c r="AM40" i="23"/>
  <c r="AM25" i="42" s="1"/>
  <c r="AM25" i="35" s="1"/>
  <c r="AN40" i="23"/>
  <c r="AN25" i="42" s="1"/>
  <c r="AN25" i="35" s="1"/>
  <c r="AO40" i="23"/>
  <c r="AO25" i="42" s="1"/>
  <c r="AO25" i="35" s="1"/>
  <c r="AP40" i="23"/>
  <c r="AP25" i="42" s="1"/>
  <c r="AP25" i="35" s="1"/>
  <c r="AQ40" i="23"/>
  <c r="AQ25" i="42" s="1"/>
  <c r="AQ25" i="35" s="1"/>
  <c r="AR40" i="23"/>
  <c r="AR25" i="42" s="1"/>
  <c r="AR25" i="35" s="1"/>
  <c r="AS40" i="23"/>
  <c r="AS25" i="42" s="1"/>
  <c r="AS25" i="35" s="1"/>
  <c r="AT40" i="23"/>
  <c r="AT25" i="42" s="1"/>
  <c r="AT25" i="35" s="1"/>
  <c r="AU40" i="23"/>
  <c r="AU25" i="42" s="1"/>
  <c r="AU25" i="35" s="1"/>
  <c r="AV40" i="23"/>
  <c r="AV25" i="42" s="1"/>
  <c r="AV25" i="35" s="1"/>
  <c r="AW40" i="23"/>
  <c r="AW25" i="42" s="1"/>
  <c r="AW25" i="35" s="1"/>
  <c r="AX40" i="23"/>
  <c r="AX25" i="42" s="1"/>
  <c r="AX25" i="35" s="1"/>
  <c r="AY40" i="23"/>
  <c r="AY25" i="42" s="1"/>
  <c r="AY25" i="35" s="1"/>
  <c r="AZ40" i="23"/>
  <c r="AZ25" i="42" s="1"/>
  <c r="AZ25" i="35" s="1"/>
  <c r="BA40" i="23"/>
  <c r="BA25" i="42" s="1"/>
  <c r="BA25" i="35" s="1"/>
  <c r="BB40" i="23"/>
  <c r="BB25" i="42" s="1"/>
  <c r="BB25" i="35" s="1"/>
  <c r="BC40" i="23"/>
  <c r="BC25" i="42" s="1"/>
  <c r="BC25" i="35" s="1"/>
  <c r="BE40" i="23"/>
  <c r="BE25" i="42" s="1"/>
  <c r="BF40" i="23"/>
  <c r="BF25" i="42" s="1"/>
  <c r="BG40" i="23"/>
  <c r="BG25" i="42" s="1"/>
  <c r="F32" i="23"/>
  <c r="F22" i="42" s="1"/>
  <c r="G32" i="23"/>
  <c r="G22" i="42" s="1"/>
  <c r="H32" i="23"/>
  <c r="H22" i="42" s="1"/>
  <c r="I32" i="23"/>
  <c r="I22" i="42" s="1"/>
  <c r="J32" i="23"/>
  <c r="J22" i="42" s="1"/>
  <c r="K32" i="23"/>
  <c r="K22" i="42" s="1"/>
  <c r="L32" i="23"/>
  <c r="L22" i="42" s="1"/>
  <c r="M32" i="23"/>
  <c r="M22" i="42" s="1"/>
  <c r="N32" i="23"/>
  <c r="N22" i="42" s="1"/>
  <c r="O32" i="23"/>
  <c r="O22" i="42" s="1"/>
  <c r="P32" i="23"/>
  <c r="P22" i="42" s="1"/>
  <c r="Q32" i="23"/>
  <c r="Q22" i="42" s="1"/>
  <c r="R32" i="23"/>
  <c r="R22" i="42" s="1"/>
  <c r="S32" i="23"/>
  <c r="S22" i="42" s="1"/>
  <c r="T32" i="23"/>
  <c r="T22" i="42" s="1"/>
  <c r="U32" i="23"/>
  <c r="U22" i="42" s="1"/>
  <c r="V32" i="23"/>
  <c r="V22" i="42" s="1"/>
  <c r="W32" i="23"/>
  <c r="W22" i="42" s="1"/>
  <c r="X32" i="23"/>
  <c r="X22" i="42" s="1"/>
  <c r="Y32" i="23"/>
  <c r="Y22" i="42" s="1"/>
  <c r="Z32" i="23"/>
  <c r="Z22" i="42" s="1"/>
  <c r="AA32" i="23"/>
  <c r="AA22" i="42" s="1"/>
  <c r="AB32" i="23"/>
  <c r="AB22" i="42" s="1"/>
  <c r="AC32" i="23"/>
  <c r="AC22" i="42" s="1"/>
  <c r="AD32" i="23"/>
  <c r="AD22" i="42" s="1"/>
  <c r="AE32" i="23"/>
  <c r="AE22" i="42" s="1"/>
  <c r="AF32" i="23"/>
  <c r="AF22" i="42" s="1"/>
  <c r="AG32" i="23"/>
  <c r="AG22" i="42" s="1"/>
  <c r="AH32" i="23"/>
  <c r="AH22" i="42" s="1"/>
  <c r="AI32" i="23"/>
  <c r="AI22" i="42" s="1"/>
  <c r="AJ32" i="23"/>
  <c r="AJ22" i="42" s="1"/>
  <c r="AK32" i="23"/>
  <c r="AK22" i="42" s="1"/>
  <c r="AL32" i="23"/>
  <c r="AL22" i="42" s="1"/>
  <c r="AM32" i="23"/>
  <c r="AM22" i="42" s="1"/>
  <c r="AN32" i="23"/>
  <c r="AN22" i="42" s="1"/>
  <c r="AO32" i="23"/>
  <c r="AO22" i="42" s="1"/>
  <c r="AP32" i="23"/>
  <c r="AP22" i="42" s="1"/>
  <c r="AQ32" i="23"/>
  <c r="AQ22" i="42" s="1"/>
  <c r="AR32" i="23"/>
  <c r="AR22" i="42" s="1"/>
  <c r="AS32" i="23"/>
  <c r="AS22" i="42" s="1"/>
  <c r="AT32" i="23"/>
  <c r="AT22" i="42" s="1"/>
  <c r="AU32" i="23"/>
  <c r="AU22" i="42" s="1"/>
  <c r="AV32" i="23"/>
  <c r="AV22" i="42" s="1"/>
  <c r="AW32" i="23"/>
  <c r="AW22" i="42" s="1"/>
  <c r="AX32" i="23"/>
  <c r="AX22" i="42" s="1"/>
  <c r="AY32" i="23"/>
  <c r="AY22" i="42" s="1"/>
  <c r="AZ32" i="23"/>
  <c r="AZ22" i="42" s="1"/>
  <c r="BA32" i="23"/>
  <c r="BA22" i="42" s="1"/>
  <c r="BB32" i="23"/>
  <c r="BB22" i="42" s="1"/>
  <c r="BC32" i="23"/>
  <c r="BC22" i="42" s="1"/>
  <c r="BE32" i="23"/>
  <c r="BE22" i="42" s="1"/>
  <c r="BF32" i="23"/>
  <c r="BF22" i="42" s="1"/>
  <c r="BG32" i="23"/>
  <c r="BG22" i="42" s="1"/>
  <c r="F28" i="23"/>
  <c r="F21" i="42" s="1"/>
  <c r="G28" i="23"/>
  <c r="G21" i="42" s="1"/>
  <c r="H28" i="23"/>
  <c r="H21" i="42" s="1"/>
  <c r="I28" i="23"/>
  <c r="I21" i="42" s="1"/>
  <c r="J28" i="23"/>
  <c r="J21" i="42" s="1"/>
  <c r="K28" i="23"/>
  <c r="K21" i="42" s="1"/>
  <c r="L28" i="23"/>
  <c r="L21" i="42" s="1"/>
  <c r="M28" i="23"/>
  <c r="M21" i="42" s="1"/>
  <c r="N28" i="23"/>
  <c r="N21" i="42" s="1"/>
  <c r="O28" i="23"/>
  <c r="O21" i="42" s="1"/>
  <c r="P28" i="23"/>
  <c r="P21" i="42" s="1"/>
  <c r="Q28" i="23"/>
  <c r="Q21" i="42" s="1"/>
  <c r="R28" i="23"/>
  <c r="R21" i="42" s="1"/>
  <c r="S28" i="23"/>
  <c r="S21" i="42" s="1"/>
  <c r="T28" i="23"/>
  <c r="T21" i="42" s="1"/>
  <c r="U28" i="23"/>
  <c r="U21" i="42" s="1"/>
  <c r="V28" i="23"/>
  <c r="V21" i="42" s="1"/>
  <c r="W28" i="23"/>
  <c r="W21" i="42" s="1"/>
  <c r="X28" i="23"/>
  <c r="X21" i="42" s="1"/>
  <c r="Y28" i="23"/>
  <c r="Y21" i="42" s="1"/>
  <c r="Z28" i="23"/>
  <c r="Z21" i="42" s="1"/>
  <c r="AA28" i="23"/>
  <c r="AA21" i="42" s="1"/>
  <c r="AB28" i="23"/>
  <c r="AB21" i="42" s="1"/>
  <c r="AC28" i="23"/>
  <c r="AC21" i="42" s="1"/>
  <c r="AD28" i="23"/>
  <c r="AD21" i="42" s="1"/>
  <c r="AE28" i="23"/>
  <c r="AE21" i="42" s="1"/>
  <c r="AF28" i="23"/>
  <c r="AF21" i="42" s="1"/>
  <c r="AG28" i="23"/>
  <c r="AG21" i="42" s="1"/>
  <c r="AH28" i="23"/>
  <c r="AH21" i="42" s="1"/>
  <c r="AI28" i="23"/>
  <c r="AI21" i="42" s="1"/>
  <c r="AJ28" i="23"/>
  <c r="AJ21" i="42" s="1"/>
  <c r="AK28" i="23"/>
  <c r="AK21" i="42" s="1"/>
  <c r="AL28" i="23"/>
  <c r="AL21" i="42" s="1"/>
  <c r="AM28" i="23"/>
  <c r="AM21" i="42" s="1"/>
  <c r="AN28" i="23"/>
  <c r="AN21" i="42" s="1"/>
  <c r="AO28" i="23"/>
  <c r="AO21" i="42" s="1"/>
  <c r="AP28" i="23"/>
  <c r="AP21" i="42" s="1"/>
  <c r="AQ28" i="23"/>
  <c r="AQ21" i="42" s="1"/>
  <c r="AR28" i="23"/>
  <c r="AR21" i="42" s="1"/>
  <c r="AS28" i="23"/>
  <c r="AS21" i="42" s="1"/>
  <c r="AT28" i="23"/>
  <c r="AT21" i="42" s="1"/>
  <c r="AU28" i="23"/>
  <c r="AU21" i="42" s="1"/>
  <c r="AV28" i="23"/>
  <c r="AV21" i="42" s="1"/>
  <c r="AW28" i="23"/>
  <c r="AW21" i="42" s="1"/>
  <c r="AX28" i="23"/>
  <c r="AX21" i="42" s="1"/>
  <c r="AY28" i="23"/>
  <c r="AY21" i="42" s="1"/>
  <c r="AZ28" i="23"/>
  <c r="AZ21" i="42" s="1"/>
  <c r="BA28" i="23"/>
  <c r="BA21" i="42" s="1"/>
  <c r="BB28" i="23"/>
  <c r="BB21" i="42" s="1"/>
  <c r="BC28" i="23"/>
  <c r="BC21" i="42" s="1"/>
  <c r="BE28" i="23"/>
  <c r="BE21" i="42" s="1"/>
  <c r="BF28" i="23"/>
  <c r="BF21" i="42" s="1"/>
  <c r="BG28" i="23"/>
  <c r="BG21" i="42" s="1"/>
  <c r="F16" i="23"/>
  <c r="F19" i="42" s="1"/>
  <c r="F8" i="37" s="1"/>
  <c r="G16" i="23"/>
  <c r="G19" i="42" s="1"/>
  <c r="G8" i="37" s="1"/>
  <c r="H16" i="23"/>
  <c r="H19" i="42" s="1"/>
  <c r="H8" i="37" s="1"/>
  <c r="I16" i="23"/>
  <c r="I19" i="42" s="1"/>
  <c r="I8" i="37" s="1"/>
  <c r="J16" i="23"/>
  <c r="J19" i="42" s="1"/>
  <c r="J8" i="37" s="1"/>
  <c r="K16" i="23"/>
  <c r="K19" i="42" s="1"/>
  <c r="K8" i="37" s="1"/>
  <c r="L16" i="23"/>
  <c r="L19" i="42" s="1"/>
  <c r="L8" i="37" s="1"/>
  <c r="M16" i="23"/>
  <c r="M19" i="42" s="1"/>
  <c r="M8" i="37" s="1"/>
  <c r="N16" i="23"/>
  <c r="N19" i="42" s="1"/>
  <c r="N8" i="37" s="1"/>
  <c r="O16" i="23"/>
  <c r="O19" i="42" s="1"/>
  <c r="O8" i="37" s="1"/>
  <c r="P16" i="23"/>
  <c r="P19" i="42" s="1"/>
  <c r="P8" i="37" s="1"/>
  <c r="Q16" i="23"/>
  <c r="Q19" i="42" s="1"/>
  <c r="Q8" i="37" s="1"/>
  <c r="R16" i="23"/>
  <c r="R19" i="42" s="1"/>
  <c r="R8" i="37" s="1"/>
  <c r="S16" i="23"/>
  <c r="S19" i="42" s="1"/>
  <c r="S8" i="37" s="1"/>
  <c r="T16" i="23"/>
  <c r="T19" i="42" s="1"/>
  <c r="T8" i="37" s="1"/>
  <c r="U16" i="23"/>
  <c r="U19" i="42" s="1"/>
  <c r="U8" i="37" s="1"/>
  <c r="V16" i="23"/>
  <c r="V19" i="42" s="1"/>
  <c r="V8" i="37" s="1"/>
  <c r="W16" i="23"/>
  <c r="W19" i="42" s="1"/>
  <c r="W8" i="37" s="1"/>
  <c r="X16" i="23"/>
  <c r="X19" i="42" s="1"/>
  <c r="X8" i="37" s="1"/>
  <c r="Y16" i="23"/>
  <c r="Y19" i="42" s="1"/>
  <c r="Y8" i="37" s="1"/>
  <c r="Z16" i="23"/>
  <c r="Z19" i="42" s="1"/>
  <c r="Z8" i="37" s="1"/>
  <c r="AA16" i="23"/>
  <c r="AA19" i="42" s="1"/>
  <c r="AA8" i="37" s="1"/>
  <c r="AB16" i="23"/>
  <c r="AB19" i="42" s="1"/>
  <c r="AB8" i="37" s="1"/>
  <c r="AC16" i="23"/>
  <c r="AC19" i="42" s="1"/>
  <c r="AC8" i="37" s="1"/>
  <c r="AD16" i="23"/>
  <c r="AD19" i="42" s="1"/>
  <c r="AD8" i="37" s="1"/>
  <c r="AE16" i="23"/>
  <c r="AE19" i="42" s="1"/>
  <c r="AE8" i="37" s="1"/>
  <c r="AF16" i="23"/>
  <c r="AF19" i="42" s="1"/>
  <c r="AF8" i="37" s="1"/>
  <c r="AG16" i="23"/>
  <c r="AG19" i="42" s="1"/>
  <c r="AG8" i="37" s="1"/>
  <c r="AH16" i="23"/>
  <c r="AH19" i="42" s="1"/>
  <c r="AH8" i="37" s="1"/>
  <c r="AI16" i="23"/>
  <c r="AI19" i="42" s="1"/>
  <c r="AI8" i="37" s="1"/>
  <c r="AJ16" i="23"/>
  <c r="AJ19" i="42" s="1"/>
  <c r="AJ8" i="37" s="1"/>
  <c r="AK16" i="23"/>
  <c r="AK19" i="42" s="1"/>
  <c r="AK8" i="37" s="1"/>
  <c r="AL16" i="23"/>
  <c r="AL19" i="42" s="1"/>
  <c r="AL8" i="37" s="1"/>
  <c r="AM16" i="23"/>
  <c r="AM19" i="42" s="1"/>
  <c r="AM8" i="37" s="1"/>
  <c r="AN16" i="23"/>
  <c r="AN19" i="42" s="1"/>
  <c r="AN8" i="37" s="1"/>
  <c r="AO16" i="23"/>
  <c r="AO19" i="42" s="1"/>
  <c r="AO8" i="37" s="1"/>
  <c r="AP16" i="23"/>
  <c r="AP19" i="42" s="1"/>
  <c r="AP8" i="37" s="1"/>
  <c r="AQ16" i="23"/>
  <c r="AQ19" i="42" s="1"/>
  <c r="AQ8" i="37" s="1"/>
  <c r="AR16" i="23"/>
  <c r="AR19" i="42" s="1"/>
  <c r="AR8" i="37" s="1"/>
  <c r="AS16" i="23"/>
  <c r="AS19" i="42" s="1"/>
  <c r="AS8" i="37" s="1"/>
  <c r="AT16" i="23"/>
  <c r="AT19" i="42" s="1"/>
  <c r="AT8" i="37" s="1"/>
  <c r="AU16" i="23"/>
  <c r="AU19" i="42" s="1"/>
  <c r="AU8" i="37" s="1"/>
  <c r="AV16" i="23"/>
  <c r="AV19" i="42" s="1"/>
  <c r="AV8" i="37" s="1"/>
  <c r="AW16" i="23"/>
  <c r="AW19" i="42" s="1"/>
  <c r="AW8" i="37" s="1"/>
  <c r="AX16" i="23"/>
  <c r="AX19" i="42" s="1"/>
  <c r="AX8" i="37" s="1"/>
  <c r="AY16" i="23"/>
  <c r="AY19" i="42" s="1"/>
  <c r="AY8" i="37" s="1"/>
  <c r="AZ16" i="23"/>
  <c r="AZ19" i="42" s="1"/>
  <c r="AZ8" i="37" s="1"/>
  <c r="BA16" i="23"/>
  <c r="BA19" i="42" s="1"/>
  <c r="BA8" i="37" s="1"/>
  <c r="BB16" i="23"/>
  <c r="BB19" i="42" s="1"/>
  <c r="BB8" i="37" s="1"/>
  <c r="BC16" i="23"/>
  <c r="BC19" i="42" s="1"/>
  <c r="BC8" i="37" s="1"/>
  <c r="BE16" i="23"/>
  <c r="BE19" i="42" s="1"/>
  <c r="BF16" i="23"/>
  <c r="BF19" i="42" s="1"/>
  <c r="BG16" i="23"/>
  <c r="BG19" i="42" s="1"/>
  <c r="BG165" i="29" l="1"/>
  <c r="BG17" i="29"/>
  <c r="BG47" i="29"/>
  <c r="BG24" i="29"/>
  <c r="BG20" i="29"/>
  <c r="BG38" i="29"/>
  <c r="BG34" i="29"/>
  <c r="BG66" i="29"/>
  <c r="BG101" i="29"/>
  <c r="BG130" i="29"/>
  <c r="BG129" i="29" s="1"/>
  <c r="BG148" i="29"/>
  <c r="BG144" i="29"/>
  <c r="BG137" i="29"/>
  <c r="BG127" i="29"/>
  <c r="BG120" i="29"/>
  <c r="BG113" i="29"/>
  <c r="BG102" i="29"/>
  <c r="BG93" i="29"/>
  <c r="BG81" i="29"/>
  <c r="BG70" i="29"/>
  <c r="BG63" i="29"/>
  <c r="BG59" i="29"/>
  <c r="BG41" i="29"/>
  <c r="BG40" i="29" s="1"/>
  <c r="BG48" i="29"/>
  <c r="BG25" i="29"/>
  <c r="BG21" i="29"/>
  <c r="BG30" i="29"/>
  <c r="BG28" i="29" s="1"/>
  <c r="BG42" i="29"/>
  <c r="BG90" i="29"/>
  <c r="BG133" i="29"/>
  <c r="BG147" i="29"/>
  <c r="BG143" i="29"/>
  <c r="BG136" i="29"/>
  <c r="BG126" i="29"/>
  <c r="BG116" i="29"/>
  <c r="BG112" i="29"/>
  <c r="BG96" i="29"/>
  <c r="BG92" i="29"/>
  <c r="BG71" i="29"/>
  <c r="BG67" i="29"/>
  <c r="BG60" i="29"/>
  <c r="BG45" i="29"/>
  <c r="BG26" i="29"/>
  <c r="BG22" i="29"/>
  <c r="BG18" i="29"/>
  <c r="BG36" i="29"/>
  <c r="BG55" i="29"/>
  <c r="BG54" i="29" s="1"/>
  <c r="BG84" i="29"/>
  <c r="BG119" i="29"/>
  <c r="BG142" i="29"/>
  <c r="BG146" i="29"/>
  <c r="BG139" i="29"/>
  <c r="BG135" i="29"/>
  <c r="BG125" i="29"/>
  <c r="BG115" i="29"/>
  <c r="BG104" i="29"/>
  <c r="BG95" i="29"/>
  <c r="BG91" i="29"/>
  <c r="BG72" i="29"/>
  <c r="BG68" i="29"/>
  <c r="BG61" i="29"/>
  <c r="BG29" i="29"/>
  <c r="BG52" i="29"/>
  <c r="BG46" i="29"/>
  <c r="BG23" i="29"/>
  <c r="BG19" i="29"/>
  <c r="BG35" i="29"/>
  <c r="BG58" i="29"/>
  <c r="BG123" i="29"/>
  <c r="BG149" i="29"/>
  <c r="BG145" i="29"/>
  <c r="BG138" i="29"/>
  <c r="BG134" i="29"/>
  <c r="BG124" i="29"/>
  <c r="BG114" i="29"/>
  <c r="BG103" i="29"/>
  <c r="BG94" i="29"/>
  <c r="BG73" i="29"/>
  <c r="BG69" i="29"/>
  <c r="BG62" i="29"/>
  <c r="BG7" i="29"/>
  <c r="BG156" i="29"/>
  <c r="BG33" i="29"/>
  <c r="BG37" i="29"/>
  <c r="BG49" i="29"/>
  <c r="BG50" i="29"/>
  <c r="BG51" i="29"/>
  <c r="BG78" i="29"/>
  <c r="BG79" i="29"/>
  <c r="BG80" i="29"/>
  <c r="BG107" i="29"/>
  <c r="BG108" i="29"/>
  <c r="BG109" i="29"/>
  <c r="BG110" i="29"/>
  <c r="BG111" i="29"/>
  <c r="BG155" i="29"/>
  <c r="BG158" i="29" s="1"/>
  <c r="BG14" i="29"/>
  <c r="BG12" i="29"/>
  <c r="BG10" i="29"/>
  <c r="BG8" i="29"/>
  <c r="BE92" i="29"/>
  <c r="BE123" i="29"/>
  <c r="BD14" i="29"/>
  <c r="BD12" i="29"/>
  <c r="BD10" i="29"/>
  <c r="BD8" i="29"/>
  <c r="BD26" i="29"/>
  <c r="BD24" i="29"/>
  <c r="BD22" i="29"/>
  <c r="BD20" i="29"/>
  <c r="BD18" i="29"/>
  <c r="BD30" i="29"/>
  <c r="BD38" i="29"/>
  <c r="BD36" i="29"/>
  <c r="BD34" i="29"/>
  <c r="BD42" i="29"/>
  <c r="BD52" i="29"/>
  <c r="BD48" i="29"/>
  <c r="BD46" i="29"/>
  <c r="BD58" i="29"/>
  <c r="BD62" i="29"/>
  <c r="BD60" i="29"/>
  <c r="BD66" i="29"/>
  <c r="BD72" i="29"/>
  <c r="BD70" i="29"/>
  <c r="BD68" i="29"/>
  <c r="BD84" i="29"/>
  <c r="BD90" i="29"/>
  <c r="BD95" i="29"/>
  <c r="BD93" i="29"/>
  <c r="BD91" i="29"/>
  <c r="BD104" i="29"/>
  <c r="BD102" i="29"/>
  <c r="BD116" i="29"/>
  <c r="BD114" i="29"/>
  <c r="BD112" i="29"/>
  <c r="BD120" i="29"/>
  <c r="BD127" i="29"/>
  <c r="BD125" i="29"/>
  <c r="BD139" i="29"/>
  <c r="BD137" i="29"/>
  <c r="BD135" i="29"/>
  <c r="BD142" i="29"/>
  <c r="BD148" i="29"/>
  <c r="BD146" i="29"/>
  <c r="BD144" i="29"/>
  <c r="BE7" i="29"/>
  <c r="BE14" i="29"/>
  <c r="BE12" i="29"/>
  <c r="BE10" i="29"/>
  <c r="BE8" i="29"/>
  <c r="BE33" i="29"/>
  <c r="BE37" i="29"/>
  <c r="BE49" i="29"/>
  <c r="BE50" i="29"/>
  <c r="BE51" i="29"/>
  <c r="BE78" i="29"/>
  <c r="BE79" i="29"/>
  <c r="BE80" i="29"/>
  <c r="BE107" i="29"/>
  <c r="BE108" i="29"/>
  <c r="BE109" i="29"/>
  <c r="BE110" i="29"/>
  <c r="BE111" i="29"/>
  <c r="BE155" i="29"/>
  <c r="BE158" i="29" s="1"/>
  <c r="BE156" i="29"/>
  <c r="BE143" i="29"/>
  <c r="BE29" i="29"/>
  <c r="BE62" i="29"/>
  <c r="BE127" i="29"/>
  <c r="BE59" i="29"/>
  <c r="BE146" i="29"/>
  <c r="BE95" i="29"/>
  <c r="BE38" i="29"/>
  <c r="BE135" i="29"/>
  <c r="BE113" i="29"/>
  <c r="BE67" i="29"/>
  <c r="BE47" i="29"/>
  <c r="BE25" i="29"/>
  <c r="BE138" i="29"/>
  <c r="BE104" i="29"/>
  <c r="BE70" i="29"/>
  <c r="BE52" i="29"/>
  <c r="BE22" i="29"/>
  <c r="BE147" i="29"/>
  <c r="BE139" i="29"/>
  <c r="BE130" i="29"/>
  <c r="BE129" i="29" s="1"/>
  <c r="BE102" i="29"/>
  <c r="BE96" i="29"/>
  <c r="BE71" i="29"/>
  <c r="BE63" i="29"/>
  <c r="BE41" i="29"/>
  <c r="BE21" i="29"/>
  <c r="BE120" i="29"/>
  <c r="BE134" i="29"/>
  <c r="BE126" i="29"/>
  <c r="BE114" i="29"/>
  <c r="BE91" i="29"/>
  <c r="BE84" i="29"/>
  <c r="BE66" i="29"/>
  <c r="BE46" i="29"/>
  <c r="BE34" i="29"/>
  <c r="BE18" i="29"/>
  <c r="BE26" i="29"/>
  <c r="BE145" i="29"/>
  <c r="BE149" i="29"/>
  <c r="BE137" i="29"/>
  <c r="BE125" i="29"/>
  <c r="BE142" i="29"/>
  <c r="BE119" i="29"/>
  <c r="BE115" i="29"/>
  <c r="BE101" i="29"/>
  <c r="BE94" i="29"/>
  <c r="BE81" i="29"/>
  <c r="BE69" i="29"/>
  <c r="BE73" i="29"/>
  <c r="BE61" i="29"/>
  <c r="BE55" i="29"/>
  <c r="BE54" i="29" s="1"/>
  <c r="BE45" i="29"/>
  <c r="BE35" i="29"/>
  <c r="BE19" i="29"/>
  <c r="BE23" i="29"/>
  <c r="BE17" i="29"/>
  <c r="BE144" i="29"/>
  <c r="BE148" i="29"/>
  <c r="BE136" i="29"/>
  <c r="BE124" i="29"/>
  <c r="BE133" i="29"/>
  <c r="BE112" i="29"/>
  <c r="BE116" i="29"/>
  <c r="BE103" i="29"/>
  <c r="BE93" i="29"/>
  <c r="BE90" i="29"/>
  <c r="BE68" i="29"/>
  <c r="BE72" i="29"/>
  <c r="BE60" i="29"/>
  <c r="BE58" i="29"/>
  <c r="BE48" i="29"/>
  <c r="BE42" i="29"/>
  <c r="BE36" i="29"/>
  <c r="BE30" i="29"/>
  <c r="BE20" i="29"/>
  <c r="BE24" i="29"/>
  <c r="C56" i="79"/>
  <c r="BD156" i="29"/>
  <c r="B56" i="79"/>
  <c r="BD155" i="29"/>
  <c r="BD158" i="29" s="1"/>
  <c r="BD129" i="23"/>
  <c r="B23" i="80" s="1"/>
  <c r="BD130" i="29"/>
  <c r="BD129" i="29" s="1"/>
  <c r="BD45" i="42"/>
  <c r="D31" i="38" s="1"/>
  <c r="BD111" i="29"/>
  <c r="BD44" i="42"/>
  <c r="D30" i="38" s="1"/>
  <c r="BD110" i="29"/>
  <c r="BD43" i="42"/>
  <c r="D29" i="38" s="1"/>
  <c r="BD109" i="29"/>
  <c r="BD42" i="42"/>
  <c r="D28" i="38" s="1"/>
  <c r="BD108" i="29"/>
  <c r="BD41" i="42"/>
  <c r="D6" i="36" s="1"/>
  <c r="BD107" i="29"/>
  <c r="BD40" i="42"/>
  <c r="D37" i="38" s="1"/>
  <c r="BD80" i="29"/>
  <c r="BD39" i="42"/>
  <c r="D36" i="38" s="1"/>
  <c r="BD79" i="29"/>
  <c r="BD38" i="42"/>
  <c r="D35" i="38" s="1"/>
  <c r="BD78" i="29"/>
  <c r="BD54" i="23"/>
  <c r="B11" i="80" s="1"/>
  <c r="BD55" i="29"/>
  <c r="BD54" i="29" s="1"/>
  <c r="BD31" i="42"/>
  <c r="D29" i="35" s="1"/>
  <c r="BD51" i="29"/>
  <c r="BD30" i="42"/>
  <c r="D28" i="35" s="1"/>
  <c r="BD50" i="29"/>
  <c r="BD29" i="42"/>
  <c r="D13" i="37" s="1"/>
  <c r="BD49" i="29"/>
  <c r="BD24" i="42"/>
  <c r="D11" i="37" s="1"/>
  <c r="BD37" i="29"/>
  <c r="BD23" i="42"/>
  <c r="D25" i="37" s="1"/>
  <c r="BD33" i="29"/>
  <c r="BF12" i="37"/>
  <c r="BE12" i="37"/>
  <c r="D54" i="79"/>
  <c r="BB54" i="42"/>
  <c r="BB23" i="35" s="1"/>
  <c r="D53" i="79"/>
  <c r="BA54" i="42"/>
  <c r="BA23" i="35" s="1"/>
  <c r="D49" i="79"/>
  <c r="AW54" i="42"/>
  <c r="AW23" i="35" s="1"/>
  <c r="D47" i="79"/>
  <c r="AU54" i="42"/>
  <c r="AU23" i="35" s="1"/>
  <c r="D45" i="79"/>
  <c r="AS54" i="42"/>
  <c r="AS23" i="35" s="1"/>
  <c r="D43" i="79"/>
  <c r="AQ54" i="42"/>
  <c r="AQ23" i="35" s="1"/>
  <c r="D41" i="79"/>
  <c r="AO54" i="42"/>
  <c r="AO23" i="35" s="1"/>
  <c r="D39" i="79"/>
  <c r="AM54" i="42"/>
  <c r="AM23" i="35" s="1"/>
  <c r="D35" i="79"/>
  <c r="AI54" i="42"/>
  <c r="AI23" i="35" s="1"/>
  <c r="D33" i="79"/>
  <c r="AG54" i="42"/>
  <c r="AG23" i="35" s="1"/>
  <c r="D31" i="79"/>
  <c r="AE54" i="42"/>
  <c r="AE23" i="35" s="1"/>
  <c r="D29" i="79"/>
  <c r="AC54" i="42"/>
  <c r="AC23" i="35" s="1"/>
  <c r="D27" i="79"/>
  <c r="AA54" i="42"/>
  <c r="AA23" i="35" s="1"/>
  <c r="D26" i="79"/>
  <c r="Z54" i="42"/>
  <c r="Z23" i="35" s="1"/>
  <c r="D24" i="79"/>
  <c r="X54" i="42"/>
  <c r="X23" i="35" s="1"/>
  <c r="D22" i="79"/>
  <c r="V54" i="42"/>
  <c r="V23" i="35" s="1"/>
  <c r="D20" i="79"/>
  <c r="T54" i="42"/>
  <c r="T23" i="35" s="1"/>
  <c r="D18" i="79"/>
  <c r="R54" i="42"/>
  <c r="R23" i="35" s="1"/>
  <c r="D16" i="79"/>
  <c r="P54" i="42"/>
  <c r="P23" i="35" s="1"/>
  <c r="D14" i="79"/>
  <c r="N54" i="42"/>
  <c r="N23" i="35" s="1"/>
  <c r="D12" i="79"/>
  <c r="L54" i="42"/>
  <c r="L23" i="35" s="1"/>
  <c r="D10" i="79"/>
  <c r="J54" i="42"/>
  <c r="J23" i="35" s="1"/>
  <c r="D8" i="79"/>
  <c r="H54" i="42"/>
  <c r="H23" i="35" s="1"/>
  <c r="D6" i="79"/>
  <c r="F54" i="42"/>
  <c r="F23" i="35" s="1"/>
  <c r="D14" i="37"/>
  <c r="D10" i="35"/>
  <c r="G56" i="79"/>
  <c r="BD51" i="42"/>
  <c r="BB27" i="37"/>
  <c r="BB32" i="37" s="1"/>
  <c r="BB24" i="35"/>
  <c r="BA27" i="37"/>
  <c r="BA32" i="37" s="1"/>
  <c r="BA24" i="35"/>
  <c r="AY27" i="37"/>
  <c r="AY32" i="37" s="1"/>
  <c r="AY24" i="35"/>
  <c r="AY34" i="35" s="1"/>
  <c r="AW27" i="37"/>
  <c r="AW32" i="37" s="1"/>
  <c r="AW24" i="35"/>
  <c r="AU27" i="37"/>
  <c r="AU32" i="37" s="1"/>
  <c r="AU24" i="35"/>
  <c r="AS27" i="37"/>
  <c r="AS32" i="37" s="1"/>
  <c r="AS24" i="35"/>
  <c r="AQ27" i="37"/>
  <c r="AQ32" i="37" s="1"/>
  <c r="AQ24" i="35"/>
  <c r="AO27" i="37"/>
  <c r="AO32" i="37" s="1"/>
  <c r="AO24" i="35"/>
  <c r="AM27" i="37"/>
  <c r="AM32" i="37" s="1"/>
  <c r="AM24" i="35"/>
  <c r="AK27" i="37"/>
  <c r="AK32" i="37" s="1"/>
  <c r="AK24" i="35"/>
  <c r="AK34" i="35" s="1"/>
  <c r="AI27" i="37"/>
  <c r="AI32" i="37" s="1"/>
  <c r="AI24" i="35"/>
  <c r="AG27" i="37"/>
  <c r="AG32" i="37" s="1"/>
  <c r="AG24" i="35"/>
  <c r="AE27" i="37"/>
  <c r="AE32" i="37" s="1"/>
  <c r="AE24" i="35"/>
  <c r="AC27" i="37"/>
  <c r="AC32" i="37" s="1"/>
  <c r="AC24" i="35"/>
  <c r="AA27" i="37"/>
  <c r="AA32" i="37" s="1"/>
  <c r="AA24" i="35"/>
  <c r="Y27" i="37"/>
  <c r="Y32" i="37" s="1"/>
  <c r="Y24" i="35"/>
  <c r="W27" i="37"/>
  <c r="W32" i="37" s="1"/>
  <c r="W24" i="35"/>
  <c r="U27" i="37"/>
  <c r="U32" i="37" s="1"/>
  <c r="U24" i="35"/>
  <c r="S27" i="37"/>
  <c r="S32" i="37" s="1"/>
  <c r="S24" i="35"/>
  <c r="Q27" i="37"/>
  <c r="Q32" i="37" s="1"/>
  <c r="Q24" i="35"/>
  <c r="O27" i="37"/>
  <c r="O32" i="37" s="1"/>
  <c r="O24" i="35"/>
  <c r="M27" i="37"/>
  <c r="M32" i="37" s="1"/>
  <c r="M24" i="35"/>
  <c r="K27" i="37"/>
  <c r="K32" i="37" s="1"/>
  <c r="K24" i="35"/>
  <c r="I27" i="37"/>
  <c r="I32" i="37" s="1"/>
  <c r="I24" i="35"/>
  <c r="G27" i="37"/>
  <c r="G32" i="37" s="1"/>
  <c r="G24" i="35"/>
  <c r="BB10" i="37"/>
  <c r="BB26" i="38"/>
  <c r="BB33" i="38" s="1"/>
  <c r="BB41" i="38" s="1"/>
  <c r="BB39" i="40" s="1"/>
  <c r="BA10" i="37"/>
  <c r="BA26" i="38"/>
  <c r="BA33" i="38" s="1"/>
  <c r="BA41" i="38" s="1"/>
  <c r="BA39" i="40" s="1"/>
  <c r="AY10" i="37"/>
  <c r="AY26" i="38"/>
  <c r="AY33" i="38" s="1"/>
  <c r="AY41" i="38" s="1"/>
  <c r="AY39" i="40" s="1"/>
  <c r="D38" i="43" s="1"/>
  <c r="AW10" i="37"/>
  <c r="AW26" i="38"/>
  <c r="AW33" i="38" s="1"/>
  <c r="AW41" i="38" s="1"/>
  <c r="AW39" i="40" s="1"/>
  <c r="AU10" i="37"/>
  <c r="AU26" i="38"/>
  <c r="AU33" i="38" s="1"/>
  <c r="AU41" i="38" s="1"/>
  <c r="AU39" i="40" s="1"/>
  <c r="AS10" i="37"/>
  <c r="AS26" i="38"/>
  <c r="AS33" i="38" s="1"/>
  <c r="AS41" i="38" s="1"/>
  <c r="AS39" i="40" s="1"/>
  <c r="AQ10" i="37"/>
  <c r="AQ26" i="38"/>
  <c r="AQ33" i="38" s="1"/>
  <c r="AQ41" i="38" s="1"/>
  <c r="AQ39" i="40" s="1"/>
  <c r="AO10" i="37"/>
  <c r="AO26" i="38"/>
  <c r="AO33" i="38" s="1"/>
  <c r="AO41" i="38" s="1"/>
  <c r="AO39" i="40" s="1"/>
  <c r="AM10" i="37"/>
  <c r="AM26" i="38"/>
  <c r="AM33" i="38" s="1"/>
  <c r="AM41" i="38" s="1"/>
  <c r="AM39" i="40" s="1"/>
  <c r="AK10" i="37"/>
  <c r="AK26" i="38"/>
  <c r="AK33" i="38" s="1"/>
  <c r="AK41" i="38" s="1"/>
  <c r="AK39" i="40" s="1"/>
  <c r="AI10" i="37"/>
  <c r="AI26" i="38"/>
  <c r="AI33" i="38" s="1"/>
  <c r="AI41" i="38" s="1"/>
  <c r="AI39" i="40" s="1"/>
  <c r="AG10" i="37"/>
  <c r="AG26" i="38"/>
  <c r="AG33" i="38" s="1"/>
  <c r="AG41" i="38" s="1"/>
  <c r="AG39" i="40" s="1"/>
  <c r="AE10" i="37"/>
  <c r="AE26" i="38"/>
  <c r="AE33" i="38" s="1"/>
  <c r="AE41" i="38" s="1"/>
  <c r="AE39" i="40" s="1"/>
  <c r="AC10" i="37"/>
  <c r="AC26" i="38"/>
  <c r="AC33" i="38" s="1"/>
  <c r="AC41" i="38" s="1"/>
  <c r="AC39" i="40" s="1"/>
  <c r="AA10" i="37"/>
  <c r="AA26" i="38"/>
  <c r="AA33" i="38" s="1"/>
  <c r="AA41" i="38" s="1"/>
  <c r="AA39" i="40" s="1"/>
  <c r="Y26" i="38"/>
  <c r="Y33" i="38" s="1"/>
  <c r="Y41" i="38" s="1"/>
  <c r="Y39" i="40" s="1"/>
  <c r="Y10" i="37"/>
  <c r="W26" i="38"/>
  <c r="W33" i="38" s="1"/>
  <c r="W41" i="38" s="1"/>
  <c r="W39" i="40" s="1"/>
  <c r="W10" i="37"/>
  <c r="U26" i="38"/>
  <c r="U33" i="38" s="1"/>
  <c r="U41" i="38" s="1"/>
  <c r="U39" i="40" s="1"/>
  <c r="U10" i="37"/>
  <c r="S26" i="38"/>
  <c r="S33" i="38" s="1"/>
  <c r="S41" i="38" s="1"/>
  <c r="S39" i="40" s="1"/>
  <c r="S10" i="37"/>
  <c r="Q26" i="38"/>
  <c r="Q33" i="38" s="1"/>
  <c r="Q41" i="38" s="1"/>
  <c r="Q39" i="40" s="1"/>
  <c r="Q10" i="37"/>
  <c r="O26" i="38"/>
  <c r="O33" i="38" s="1"/>
  <c r="O41" i="38" s="1"/>
  <c r="O39" i="40" s="1"/>
  <c r="O10" i="37"/>
  <c r="M26" i="38"/>
  <c r="M33" i="38" s="1"/>
  <c r="M41" i="38" s="1"/>
  <c r="M39" i="40" s="1"/>
  <c r="M10" i="37"/>
  <c r="K26" i="38"/>
  <c r="K33" i="38" s="1"/>
  <c r="K41" i="38" s="1"/>
  <c r="K39" i="40" s="1"/>
  <c r="K10" i="37"/>
  <c r="I26" i="38"/>
  <c r="I33" i="38" s="1"/>
  <c r="I41" i="38" s="1"/>
  <c r="I39" i="40" s="1"/>
  <c r="I10" i="37"/>
  <c r="G26" i="38"/>
  <c r="G33" i="38" s="1"/>
  <c r="G41" i="38" s="1"/>
  <c r="G39" i="40" s="1"/>
  <c r="G10" i="37"/>
  <c r="BF8" i="37"/>
  <c r="BE8" i="37"/>
  <c r="BC27" i="37"/>
  <c r="BC32" i="37" s="1"/>
  <c r="BC24" i="35"/>
  <c r="AZ27" i="37"/>
  <c r="AZ32" i="37" s="1"/>
  <c r="AZ24" i="35"/>
  <c r="AX27" i="37"/>
  <c r="AX32" i="37" s="1"/>
  <c r="AX24" i="35"/>
  <c r="AV27" i="37"/>
  <c r="AV32" i="37" s="1"/>
  <c r="AV24" i="35"/>
  <c r="AT27" i="37"/>
  <c r="AT32" i="37" s="1"/>
  <c r="AT24" i="35"/>
  <c r="AR27" i="37"/>
  <c r="AR32" i="37" s="1"/>
  <c r="AR24" i="35"/>
  <c r="AP27" i="37"/>
  <c r="AP32" i="37" s="1"/>
  <c r="AP24" i="35"/>
  <c r="AN27" i="37"/>
  <c r="AN32" i="37" s="1"/>
  <c r="AN24" i="35"/>
  <c r="AL27" i="37"/>
  <c r="AL32" i="37" s="1"/>
  <c r="AL24" i="35"/>
  <c r="AJ27" i="37"/>
  <c r="AJ24" i="35"/>
  <c r="BF24" i="35" s="1"/>
  <c r="AH27" i="37"/>
  <c r="AH32" i="37" s="1"/>
  <c r="AH24" i="35"/>
  <c r="AF27" i="37"/>
  <c r="AF32" i="37" s="1"/>
  <c r="AF24" i="35"/>
  <c r="AD27" i="37"/>
  <c r="AD32" i="37" s="1"/>
  <c r="AD24" i="35"/>
  <c r="AB27" i="37"/>
  <c r="AB32" i="37" s="1"/>
  <c r="AB24" i="35"/>
  <c r="Z27" i="37"/>
  <c r="Z32" i="37" s="1"/>
  <c r="Z24" i="35"/>
  <c r="X27" i="37"/>
  <c r="X24" i="35"/>
  <c r="BE24" i="35" s="1"/>
  <c r="V27" i="37"/>
  <c r="V32" i="37" s="1"/>
  <c r="V24" i="35"/>
  <c r="T27" i="37"/>
  <c r="T32" i="37" s="1"/>
  <c r="T24" i="35"/>
  <c r="R27" i="37"/>
  <c r="R32" i="37" s="1"/>
  <c r="R24" i="35"/>
  <c r="P27" i="37"/>
  <c r="P32" i="37" s="1"/>
  <c r="P24" i="35"/>
  <c r="N27" i="37"/>
  <c r="N32" i="37" s="1"/>
  <c r="N24" i="35"/>
  <c r="L27" i="37"/>
  <c r="L32" i="37" s="1"/>
  <c r="L24" i="35"/>
  <c r="J27" i="37"/>
  <c r="J32" i="37" s="1"/>
  <c r="J24" i="35"/>
  <c r="H27" i="37"/>
  <c r="H32" i="37" s="1"/>
  <c r="H24" i="35"/>
  <c r="F27" i="37"/>
  <c r="F32" i="37" s="1"/>
  <c r="F24" i="35"/>
  <c r="BC26" i="38"/>
  <c r="BC33" i="38" s="1"/>
  <c r="BC41" i="38" s="1"/>
  <c r="BC39" i="40" s="1"/>
  <c r="BC10" i="37"/>
  <c r="AZ26" i="38"/>
  <c r="AZ33" i="38" s="1"/>
  <c r="AZ41" i="38" s="1"/>
  <c r="AZ39" i="40" s="1"/>
  <c r="AZ10" i="37"/>
  <c r="AX26" i="38"/>
  <c r="AX33" i="38" s="1"/>
  <c r="AX41" i="38" s="1"/>
  <c r="AX39" i="40" s="1"/>
  <c r="AX10" i="37"/>
  <c r="AV26" i="38"/>
  <c r="AV33" i="38" s="1"/>
  <c r="AV41" i="38" s="1"/>
  <c r="AV39" i="40" s="1"/>
  <c r="AV10" i="37"/>
  <c r="AT26" i="38"/>
  <c r="AT33" i="38" s="1"/>
  <c r="AT41" i="38" s="1"/>
  <c r="AT39" i="40" s="1"/>
  <c r="AT10" i="37"/>
  <c r="AR26" i="38"/>
  <c r="AR33" i="38" s="1"/>
  <c r="AR41" i="38" s="1"/>
  <c r="AR39" i="40" s="1"/>
  <c r="AR10" i="37"/>
  <c r="AP26" i="38"/>
  <c r="AP33" i="38" s="1"/>
  <c r="AP41" i="38" s="1"/>
  <c r="AP39" i="40" s="1"/>
  <c r="AP10" i="37"/>
  <c r="AN26" i="38"/>
  <c r="AN33" i="38" s="1"/>
  <c r="AN41" i="38" s="1"/>
  <c r="AN39" i="40" s="1"/>
  <c r="AN10" i="37"/>
  <c r="AL26" i="38"/>
  <c r="AL33" i="38" s="1"/>
  <c r="AL41" i="38" s="1"/>
  <c r="AL39" i="40" s="1"/>
  <c r="AL10" i="37"/>
  <c r="AJ26" i="38"/>
  <c r="AJ10" i="37"/>
  <c r="AH26" i="38"/>
  <c r="AH33" i="38" s="1"/>
  <c r="AH41" i="38" s="1"/>
  <c r="AH39" i="40" s="1"/>
  <c r="AH10" i="37"/>
  <c r="AF26" i="38"/>
  <c r="AF33" i="38" s="1"/>
  <c r="AF41" i="38" s="1"/>
  <c r="AF39" i="40" s="1"/>
  <c r="AF10" i="37"/>
  <c r="AD26" i="38"/>
  <c r="AD33" i="38" s="1"/>
  <c r="AD41" i="38" s="1"/>
  <c r="AD39" i="40" s="1"/>
  <c r="AD10" i="37"/>
  <c r="AB26" i="38"/>
  <c r="AB33" i="38" s="1"/>
  <c r="AB41" i="38" s="1"/>
  <c r="AB39" i="40" s="1"/>
  <c r="AB10" i="37"/>
  <c r="Z10" i="37"/>
  <c r="Z26" i="38"/>
  <c r="Z33" i="38" s="1"/>
  <c r="Z41" i="38" s="1"/>
  <c r="Z39" i="40" s="1"/>
  <c r="X10" i="37"/>
  <c r="X26" i="38"/>
  <c r="V10" i="37"/>
  <c r="V26" i="38"/>
  <c r="V33" i="38" s="1"/>
  <c r="V41" i="38" s="1"/>
  <c r="V39" i="40" s="1"/>
  <c r="T10" i="37"/>
  <c r="T26" i="38"/>
  <c r="T33" i="38" s="1"/>
  <c r="T41" i="38" s="1"/>
  <c r="T39" i="40" s="1"/>
  <c r="R10" i="37"/>
  <c r="R26" i="38"/>
  <c r="R33" i="38" s="1"/>
  <c r="R41" i="38" s="1"/>
  <c r="R39" i="40" s="1"/>
  <c r="P10" i="37"/>
  <c r="P26" i="38"/>
  <c r="P33" i="38" s="1"/>
  <c r="P41" i="38" s="1"/>
  <c r="P39" i="40" s="1"/>
  <c r="N10" i="37"/>
  <c r="N26" i="38"/>
  <c r="N33" i="38" s="1"/>
  <c r="N41" i="38" s="1"/>
  <c r="N39" i="40" s="1"/>
  <c r="L10" i="37"/>
  <c r="L26" i="38"/>
  <c r="L33" i="38" s="1"/>
  <c r="L41" i="38" s="1"/>
  <c r="L39" i="40" s="1"/>
  <c r="J10" i="37"/>
  <c r="J26" i="38"/>
  <c r="J33" i="38" s="1"/>
  <c r="J41" i="38" s="1"/>
  <c r="J39" i="40" s="1"/>
  <c r="H10" i="37"/>
  <c r="H26" i="38"/>
  <c r="H33" i="38" s="1"/>
  <c r="H41" i="38" s="1"/>
  <c r="H39" i="40" s="1"/>
  <c r="F10" i="37"/>
  <c r="F26" i="38"/>
  <c r="F33" i="38" s="1"/>
  <c r="F41" i="38" s="1"/>
  <c r="F39" i="40" s="1"/>
  <c r="BF25" i="35"/>
  <c r="BE25" i="35"/>
  <c r="BF26" i="35"/>
  <c r="BE26" i="35"/>
  <c r="BF11" i="36"/>
  <c r="BE11" i="36"/>
  <c r="BF12" i="36"/>
  <c r="BE12" i="36"/>
  <c r="D55" i="79"/>
  <c r="BC54" i="42"/>
  <c r="BC23" i="35" s="1"/>
  <c r="D52" i="79"/>
  <c r="AZ54" i="42"/>
  <c r="AZ23" i="35" s="1"/>
  <c r="D50" i="79"/>
  <c r="AX54" i="42"/>
  <c r="AX23" i="35" s="1"/>
  <c r="D48" i="79"/>
  <c r="AV54" i="42"/>
  <c r="AV23" i="35" s="1"/>
  <c r="D46" i="79"/>
  <c r="AT54" i="42"/>
  <c r="AT23" i="35" s="1"/>
  <c r="D44" i="79"/>
  <c r="AR54" i="42"/>
  <c r="AR23" i="35" s="1"/>
  <c r="D42" i="79"/>
  <c r="AP54" i="42"/>
  <c r="AP23" i="35" s="1"/>
  <c r="D40" i="79"/>
  <c r="AN54" i="42"/>
  <c r="AN23" i="35" s="1"/>
  <c r="D38" i="79"/>
  <c r="AL54" i="42"/>
  <c r="AL23" i="35" s="1"/>
  <c r="D36" i="79"/>
  <c r="AJ54" i="42"/>
  <c r="AJ23" i="35" s="1"/>
  <c r="D34" i="79"/>
  <c r="AH54" i="42"/>
  <c r="AH23" i="35" s="1"/>
  <c r="D32" i="79"/>
  <c r="AF54" i="42"/>
  <c r="AF23" i="35" s="1"/>
  <c r="D30" i="79"/>
  <c r="AD54" i="42"/>
  <c r="AD23" i="35" s="1"/>
  <c r="D28" i="79"/>
  <c r="AB54" i="42"/>
  <c r="AB23" i="35" s="1"/>
  <c r="D25" i="79"/>
  <c r="Y54" i="42"/>
  <c r="Y23" i="35" s="1"/>
  <c r="D23" i="79"/>
  <c r="W54" i="42"/>
  <c r="W23" i="35" s="1"/>
  <c r="D21" i="79"/>
  <c r="U54" i="42"/>
  <c r="U23" i="35" s="1"/>
  <c r="D19" i="79"/>
  <c r="S54" i="42"/>
  <c r="S23" i="35" s="1"/>
  <c r="D17" i="79"/>
  <c r="Q54" i="42"/>
  <c r="Q23" i="35" s="1"/>
  <c r="D15" i="79"/>
  <c r="O54" i="42"/>
  <c r="O23" i="35" s="1"/>
  <c r="D13" i="79"/>
  <c r="M54" i="42"/>
  <c r="M23" i="35" s="1"/>
  <c r="D11" i="79"/>
  <c r="K54" i="42"/>
  <c r="K23" i="35" s="1"/>
  <c r="D9" i="79"/>
  <c r="I54" i="42"/>
  <c r="I23" i="35" s="1"/>
  <c r="D7" i="79"/>
  <c r="G54" i="42"/>
  <c r="G23" i="35" s="1"/>
  <c r="F56" i="79"/>
  <c r="BD32" i="42"/>
  <c r="D30" i="35" s="1"/>
  <c r="D27" i="38"/>
  <c r="E158" i="49"/>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E170" i="23"/>
  <c r="BB170" i="23"/>
  <c r="AW170" i="23"/>
  <c r="AU170" i="23"/>
  <c r="AS170" i="23"/>
  <c r="AQ170" i="23"/>
  <c r="AO170" i="23"/>
  <c r="AM170" i="23"/>
  <c r="AK170" i="23"/>
  <c r="AI170" i="23"/>
  <c r="AG170" i="23"/>
  <c r="AE170" i="23"/>
  <c r="AC170" i="23"/>
  <c r="AA170" i="23"/>
  <c r="Z170" i="23"/>
  <c r="X170" i="23"/>
  <c r="V170" i="23"/>
  <c r="T170" i="23"/>
  <c r="R170" i="23"/>
  <c r="P170" i="23"/>
  <c r="N170" i="23"/>
  <c r="L170" i="23"/>
  <c r="J170" i="23"/>
  <c r="H170" i="23"/>
  <c r="F170" i="23"/>
  <c r="E89" i="49"/>
  <c r="E63" i="49"/>
  <c r="E35" i="49"/>
  <c r="E39" i="49"/>
  <c r="D59" i="79"/>
  <c r="D57" i="79"/>
  <c r="D51" i="79"/>
  <c r="D37" i="79"/>
  <c r="D58" i="79"/>
  <c r="M154" i="29"/>
  <c r="E13" i="79" s="1"/>
  <c r="BA170" i="23"/>
  <c r="BG170" i="23"/>
  <c r="AY170" i="23"/>
  <c r="C15" i="74"/>
  <c r="C21" i="74"/>
  <c r="AZ173" i="23"/>
  <c r="AX173" i="23"/>
  <c r="O173" i="23"/>
  <c r="AL173" i="23"/>
  <c r="D78" i="27"/>
  <c r="C59" i="25"/>
  <c r="C65" i="25"/>
  <c r="C60" i="25"/>
  <c r="D80" i="27"/>
  <c r="D34" i="27"/>
  <c r="C66" i="25"/>
  <c r="C8" i="26"/>
  <c r="D32" i="27"/>
  <c r="D79" i="27"/>
  <c r="D33" i="27"/>
  <c r="D56" i="27"/>
  <c r="C80" i="25"/>
  <c r="C34" i="25"/>
  <c r="C13" i="45"/>
  <c r="D57" i="27"/>
  <c r="C86" i="25"/>
  <c r="C40" i="25"/>
  <c r="C19" i="45"/>
  <c r="C81" i="25"/>
  <c r="C35" i="25"/>
  <c r="C14" i="45"/>
  <c r="C15" i="60"/>
  <c r="D58" i="27"/>
  <c r="C87" i="25"/>
  <c r="C41" i="25"/>
  <c r="C20" i="45"/>
  <c r="C21" i="60"/>
  <c r="S224" i="63"/>
  <c r="F227" i="64" s="1"/>
  <c r="BA173" i="23"/>
  <c r="AY173" i="23"/>
  <c r="AW76" i="23"/>
  <c r="AW37" i="42" s="1"/>
  <c r="AW10" i="36" s="1"/>
  <c r="AW16" i="36" s="1"/>
  <c r="AW173" i="23"/>
  <c r="AU173" i="23"/>
  <c r="AS173" i="23"/>
  <c r="Z173" i="23"/>
  <c r="AK173" i="23"/>
  <c r="AR173" i="23"/>
  <c r="AG76" i="23"/>
  <c r="AG37" i="42" s="1"/>
  <c r="AG10" i="36" s="1"/>
  <c r="AG16" i="36" s="1"/>
  <c r="AG173" i="23"/>
  <c r="AH173" i="23"/>
  <c r="AE173" i="23"/>
  <c r="AD173" i="23"/>
  <c r="AB173" i="23"/>
  <c r="Y173" i="23"/>
  <c r="X173" i="23"/>
  <c r="AQ173" i="23"/>
  <c r="AP173" i="23"/>
  <c r="AO76" i="23"/>
  <c r="AO37" i="42" s="1"/>
  <c r="AO10" i="36" s="1"/>
  <c r="AO16" i="36" s="1"/>
  <c r="AO173" i="23"/>
  <c r="AV173" i="23"/>
  <c r="N173" i="23"/>
  <c r="T173" i="23"/>
  <c r="U173" i="23"/>
  <c r="AN173" i="23"/>
  <c r="AI173" i="23"/>
  <c r="AA173" i="23"/>
  <c r="V173" i="23"/>
  <c r="AF173" i="23"/>
  <c r="J173" i="23"/>
  <c r="BC173" i="23"/>
  <c r="AM173" i="23"/>
  <c r="AT173" i="23"/>
  <c r="S173" i="23"/>
  <c r="R76" i="23"/>
  <c r="R37" i="42" s="1"/>
  <c r="R10" i="36" s="1"/>
  <c r="R16" i="36" s="1"/>
  <c r="R173" i="23"/>
  <c r="W173" i="23"/>
  <c r="AC173" i="23"/>
  <c r="BF173" i="23"/>
  <c r="Q173" i="23"/>
  <c r="AJ173" i="23"/>
  <c r="P173" i="23"/>
  <c r="H173" i="23"/>
  <c r="K173" i="23"/>
  <c r="G173" i="23"/>
  <c r="I173" i="23"/>
  <c r="I76" i="23"/>
  <c r="I37" i="42" s="1"/>
  <c r="I10" i="36" s="1"/>
  <c r="I16" i="36" s="1"/>
  <c r="BG173" i="23"/>
  <c r="BB173" i="23"/>
  <c r="L173" i="23"/>
  <c r="F173" i="23"/>
  <c r="M173" i="23"/>
  <c r="C9" i="26"/>
  <c r="BE221" i="24"/>
  <c r="BE224" i="24" s="1"/>
  <c r="BE173" i="23"/>
  <c r="D13" i="43"/>
  <c r="D16" i="43"/>
  <c r="O118" i="29"/>
  <c r="Z76" i="23"/>
  <c r="Z37" i="42" s="1"/>
  <c r="Z10" i="36" s="1"/>
  <c r="Z16" i="36" s="1"/>
  <c r="BG174" i="29"/>
  <c r="BG168" i="29"/>
  <c r="BG176" i="29"/>
  <c r="BG172" i="29"/>
  <c r="BG170" i="29"/>
  <c r="BG166" i="29"/>
  <c r="BF177" i="29"/>
  <c r="BF173" i="29"/>
  <c r="BF174" i="29"/>
  <c r="BF170" i="29"/>
  <c r="BF172" i="29"/>
  <c r="BF168" i="29"/>
  <c r="BF166" i="29"/>
  <c r="BG175" i="29"/>
  <c r="BG169" i="29"/>
  <c r="BG177" i="29"/>
  <c r="BG173" i="29"/>
  <c r="BG171" i="29"/>
  <c r="BG167" i="29"/>
  <c r="BF176" i="29"/>
  <c r="BF175" i="29"/>
  <c r="BF171" i="29"/>
  <c r="BF169" i="29"/>
  <c r="BF167" i="29"/>
  <c r="BD174" i="29"/>
  <c r="BE174" i="29"/>
  <c r="BD168" i="29"/>
  <c r="BE168" i="29"/>
  <c r="BD176" i="29"/>
  <c r="BE176" i="29"/>
  <c r="BD172" i="29"/>
  <c r="BE172" i="29"/>
  <c r="BD170" i="29"/>
  <c r="BE170" i="29"/>
  <c r="BD166" i="29"/>
  <c r="BE166" i="29"/>
  <c r="BD175" i="29"/>
  <c r="BE175" i="29"/>
  <c r="BD169" i="29"/>
  <c r="BE169" i="29"/>
  <c r="BE177" i="29"/>
  <c r="BD177" i="29"/>
  <c r="BE173" i="29"/>
  <c r="BD173" i="29"/>
  <c r="BE171" i="29"/>
  <c r="BD171" i="29"/>
  <c r="BD167" i="29"/>
  <c r="BE167" i="29"/>
  <c r="AQ28" i="29"/>
  <c r="AQ40" i="29"/>
  <c r="AS28" i="29"/>
  <c r="AS40" i="29"/>
  <c r="AO28" i="29"/>
  <c r="AO40" i="29"/>
  <c r="AE28" i="29"/>
  <c r="AE40" i="29"/>
  <c r="AA28" i="29"/>
  <c r="AA40" i="29"/>
  <c r="V28" i="29"/>
  <c r="V40" i="29"/>
  <c r="P28" i="29"/>
  <c r="P40" i="29"/>
  <c r="L28" i="29"/>
  <c r="L40" i="29"/>
  <c r="H28" i="29"/>
  <c r="H40" i="29"/>
  <c r="AZ154" i="29"/>
  <c r="E52" i="79" s="1"/>
  <c r="AR154" i="29"/>
  <c r="E44" i="79" s="1"/>
  <c r="AB154" i="29"/>
  <c r="E28" i="79" s="1"/>
  <c r="U154" i="29"/>
  <c r="E21" i="79" s="1"/>
  <c r="Q154" i="29"/>
  <c r="E17" i="79" s="1"/>
  <c r="BA76" i="23"/>
  <c r="BA37" i="42" s="1"/>
  <c r="BA10" i="36" s="1"/>
  <c r="BA16" i="36" s="1"/>
  <c r="AS76" i="23"/>
  <c r="AS37" i="42" s="1"/>
  <c r="AS10" i="36" s="1"/>
  <c r="AS16" i="36" s="1"/>
  <c r="AK76" i="23"/>
  <c r="AK37" i="42" s="1"/>
  <c r="AK10" i="36" s="1"/>
  <c r="AK16" i="36" s="1"/>
  <c r="AC76" i="23"/>
  <c r="AC37" i="42" s="1"/>
  <c r="AC10" i="36" s="1"/>
  <c r="AC16" i="36" s="1"/>
  <c r="V76" i="23"/>
  <c r="V37" i="42" s="1"/>
  <c r="V10" i="36" s="1"/>
  <c r="V16" i="36" s="1"/>
  <c r="N76" i="23"/>
  <c r="N37" i="42" s="1"/>
  <c r="N10" i="36" s="1"/>
  <c r="N16" i="36" s="1"/>
  <c r="BB76" i="23"/>
  <c r="BB37" i="42" s="1"/>
  <c r="BB10" i="36" s="1"/>
  <c r="BB16" i="36" s="1"/>
  <c r="AY76" i="23"/>
  <c r="AY37" i="42" s="1"/>
  <c r="AY10" i="36" s="1"/>
  <c r="AY16" i="36" s="1"/>
  <c r="AU76" i="23"/>
  <c r="AU37" i="42" s="1"/>
  <c r="AU10" i="36" s="1"/>
  <c r="AU16" i="36" s="1"/>
  <c r="AQ76" i="23"/>
  <c r="AQ37" i="42" s="1"/>
  <c r="AQ10" i="36" s="1"/>
  <c r="AQ16" i="36" s="1"/>
  <c r="AM76" i="23"/>
  <c r="AM37" i="42" s="1"/>
  <c r="AM10" i="36" s="1"/>
  <c r="AM16" i="36" s="1"/>
  <c r="AI76" i="23"/>
  <c r="AI37" i="42" s="1"/>
  <c r="AI10" i="36" s="1"/>
  <c r="AI16" i="36" s="1"/>
  <c r="AE76" i="23"/>
  <c r="AE37" i="42" s="1"/>
  <c r="AE10" i="36" s="1"/>
  <c r="AE16" i="36" s="1"/>
  <c r="AA76" i="23"/>
  <c r="AA37" i="42" s="1"/>
  <c r="AA10" i="36" s="1"/>
  <c r="AA16" i="36" s="1"/>
  <c r="X76" i="23"/>
  <c r="X37" i="42" s="1"/>
  <c r="X10" i="36" s="1"/>
  <c r="T76" i="23"/>
  <c r="T37" i="42" s="1"/>
  <c r="T10" i="36" s="1"/>
  <c r="T16" i="36" s="1"/>
  <c r="P76" i="23"/>
  <c r="P37" i="42" s="1"/>
  <c r="P10" i="36" s="1"/>
  <c r="P16" i="36" s="1"/>
  <c r="L76" i="23"/>
  <c r="L37" i="42" s="1"/>
  <c r="L10" i="36" s="1"/>
  <c r="L16" i="36" s="1"/>
  <c r="J76" i="23"/>
  <c r="J37" i="42" s="1"/>
  <c r="J10" i="36" s="1"/>
  <c r="J16" i="36" s="1"/>
  <c r="H76" i="23"/>
  <c r="H37" i="42" s="1"/>
  <c r="H10" i="36" s="1"/>
  <c r="H16" i="36" s="1"/>
  <c r="F76" i="23"/>
  <c r="F37" i="42" s="1"/>
  <c r="F10" i="36" s="1"/>
  <c r="F16" i="36" s="1"/>
  <c r="BC76" i="23"/>
  <c r="BC37" i="42" s="1"/>
  <c r="BC10" i="36" s="1"/>
  <c r="BC16" i="36" s="1"/>
  <c r="AZ76" i="23"/>
  <c r="AZ37" i="42" s="1"/>
  <c r="AZ10" i="36" s="1"/>
  <c r="AZ16" i="36" s="1"/>
  <c r="AX76" i="23"/>
  <c r="AX37" i="42" s="1"/>
  <c r="AX10" i="36" s="1"/>
  <c r="AX16" i="36" s="1"/>
  <c r="AV76" i="23"/>
  <c r="AV37" i="42" s="1"/>
  <c r="AV10" i="36" s="1"/>
  <c r="AV16" i="36" s="1"/>
  <c r="AT76" i="23"/>
  <c r="AT37" i="42" s="1"/>
  <c r="AT10" i="36" s="1"/>
  <c r="AT16" i="36" s="1"/>
  <c r="AR76" i="23"/>
  <c r="AR37" i="42" s="1"/>
  <c r="AR10" i="36" s="1"/>
  <c r="AR16" i="36" s="1"/>
  <c r="AP76" i="23"/>
  <c r="AP37" i="42" s="1"/>
  <c r="AP10" i="36" s="1"/>
  <c r="AP16" i="36" s="1"/>
  <c r="AN76" i="23"/>
  <c r="AN37" i="42" s="1"/>
  <c r="AN10" i="36" s="1"/>
  <c r="AN16" i="36" s="1"/>
  <c r="AL76" i="23"/>
  <c r="AL37" i="42" s="1"/>
  <c r="AL10" i="36" s="1"/>
  <c r="AL16" i="36" s="1"/>
  <c r="AJ76" i="23"/>
  <c r="AJ37" i="42" s="1"/>
  <c r="AJ10" i="36" s="1"/>
  <c r="AH76" i="23"/>
  <c r="AH37" i="42" s="1"/>
  <c r="AH10" i="36" s="1"/>
  <c r="AH16" i="36" s="1"/>
  <c r="K76" i="23"/>
  <c r="K37" i="42" s="1"/>
  <c r="K10" i="36" s="1"/>
  <c r="K16" i="36" s="1"/>
  <c r="G76" i="23"/>
  <c r="G37" i="42" s="1"/>
  <c r="G10" i="36" s="1"/>
  <c r="G16" i="36" s="1"/>
  <c r="BE9" i="40"/>
  <c r="BE4" i="39"/>
  <c r="BE3" i="38"/>
  <c r="BE3" i="37"/>
  <c r="BE3" i="36"/>
  <c r="BE3" i="35"/>
  <c r="BD3" i="37"/>
  <c r="BD9" i="40"/>
  <c r="BD4" i="39"/>
  <c r="BD3" i="38"/>
  <c r="BD3" i="36"/>
  <c r="BD3" i="35"/>
  <c r="BF9" i="40"/>
  <c r="BF4" i="39"/>
  <c r="BF3" i="38"/>
  <c r="BF3" i="37"/>
  <c r="BF3" i="36"/>
  <c r="BF3" i="35"/>
  <c r="X12" i="38"/>
  <c r="X35" i="40" s="1"/>
  <c r="BE35" i="40" s="1"/>
  <c r="BE10" i="38"/>
  <c r="BE12" i="38" s="1"/>
  <c r="BF10" i="38"/>
  <c r="BF12" i="38" s="1"/>
  <c r="AJ12" i="38"/>
  <c r="AJ35" i="40" s="1"/>
  <c r="BF35" i="40" s="1"/>
  <c r="E12" i="38"/>
  <c r="E35" i="40" s="1"/>
  <c r="BD35" i="40" s="1"/>
  <c r="BD10" i="38"/>
  <c r="BD12" i="38" s="1"/>
  <c r="BC132" i="29"/>
  <c r="AV154" i="29"/>
  <c r="E48" i="79" s="1"/>
  <c r="AN132" i="29"/>
  <c r="AF154" i="29"/>
  <c r="E32" i="79" s="1"/>
  <c r="I132" i="29"/>
  <c r="C77" i="25"/>
  <c r="BD118" i="23"/>
  <c r="AY122" i="29"/>
  <c r="AQ100" i="29"/>
  <c r="AQ122" i="29"/>
  <c r="AI118" i="29"/>
  <c r="AA118" i="29"/>
  <c r="T118" i="29"/>
  <c r="AV77" i="29"/>
  <c r="BB32" i="29"/>
  <c r="BB44" i="29"/>
  <c r="BB89" i="29"/>
  <c r="BB28" i="29"/>
  <c r="BB40" i="29"/>
  <c r="AY32" i="29"/>
  <c r="AY44" i="29"/>
  <c r="AY83" i="29"/>
  <c r="AY89" i="29"/>
  <c r="AW83" i="29"/>
  <c r="AW118" i="29"/>
  <c r="AU32" i="29"/>
  <c r="AU44" i="29"/>
  <c r="AU89" i="29"/>
  <c r="AU28" i="29"/>
  <c r="AU40" i="29"/>
  <c r="AS89" i="29"/>
  <c r="AQ32" i="29"/>
  <c r="AQ44" i="29"/>
  <c r="AQ83" i="29"/>
  <c r="AQ77" i="29"/>
  <c r="AO77" i="29"/>
  <c r="AM32" i="29"/>
  <c r="AM44" i="29"/>
  <c r="AM89" i="29"/>
  <c r="AM28" i="29"/>
  <c r="AM40" i="29"/>
  <c r="AK89" i="29"/>
  <c r="AI32" i="29"/>
  <c r="AI44" i="29"/>
  <c r="AI83" i="29"/>
  <c r="AI28" i="29"/>
  <c r="AI40" i="29"/>
  <c r="AI89" i="29"/>
  <c r="AG118" i="29"/>
  <c r="AG141" i="29"/>
  <c r="AE32" i="29"/>
  <c r="AE44" i="29"/>
  <c r="AE89" i="29"/>
  <c r="AE83" i="29"/>
  <c r="AE118" i="29"/>
  <c r="AC83" i="29"/>
  <c r="AC118" i="29"/>
  <c r="AA32" i="29"/>
  <c r="AA44" i="29"/>
  <c r="AA83" i="29"/>
  <c r="AA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C57" i="29"/>
  <c r="BC106" i="29"/>
  <c r="BC158" i="29"/>
  <c r="AZ57" i="29"/>
  <c r="AZ106" i="29"/>
  <c r="AZ132" i="29"/>
  <c r="AX118" i="29"/>
  <c r="AV57" i="29"/>
  <c r="AV106" i="29"/>
  <c r="AV118" i="29"/>
  <c r="AT141" i="29"/>
  <c r="AT154" i="29"/>
  <c r="E46" i="79" s="1"/>
  <c r="AR57" i="29"/>
  <c r="AR106" i="29"/>
  <c r="AR132" i="29"/>
  <c r="AP118" i="29"/>
  <c r="AP28" i="29"/>
  <c r="AP40" i="29"/>
  <c r="AP100" i="29"/>
  <c r="AP122" i="29"/>
  <c r="AP154" i="29"/>
  <c r="E42" i="79" s="1"/>
  <c r="AN57" i="29"/>
  <c r="AN106" i="29"/>
  <c r="AN158" i="29"/>
  <c r="AL118" i="29"/>
  <c r="AH154" i="29"/>
  <c r="E34" i="79" s="1"/>
  <c r="AH28" i="29"/>
  <c r="AH40" i="29"/>
  <c r="AF57" i="29"/>
  <c r="AF106" i="29"/>
  <c r="AD100" i="29"/>
  <c r="AD122" i="29"/>
  <c r="AB57" i="29"/>
  <c r="AB106" i="29"/>
  <c r="AB132" i="29"/>
  <c r="AB118" i="29"/>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B57" i="29"/>
  <c r="BB100" i="29"/>
  <c r="BB106" i="29"/>
  <c r="BB122" i="29"/>
  <c r="BB132" i="29"/>
  <c r="BB141" i="29"/>
  <c r="BB158" i="29"/>
  <c r="BB154" i="29"/>
  <c r="E54" i="79" s="1"/>
  <c r="BA6" i="29"/>
  <c r="BA16" i="29"/>
  <c r="BA65" i="29"/>
  <c r="BA83" i="29"/>
  <c r="BA100" i="29"/>
  <c r="BA106" i="29"/>
  <c r="BA122" i="29"/>
  <c r="BA132" i="29"/>
  <c r="BA141" i="29"/>
  <c r="AY65" i="29"/>
  <c r="AY100" i="29"/>
  <c r="AY106" i="29"/>
  <c r="AY132" i="29"/>
  <c r="AY141" i="29"/>
  <c r="AY158" i="29"/>
  <c r="AY154" i="29"/>
  <c r="E51" i="79" s="1"/>
  <c r="AW6" i="29"/>
  <c r="AW16" i="29"/>
  <c r="AW65" i="29"/>
  <c r="AU57" i="29"/>
  <c r="AU100" i="29"/>
  <c r="AU106" i="29"/>
  <c r="AU122" i="29"/>
  <c r="AU132" i="29"/>
  <c r="AU141" i="29"/>
  <c r="AU158" i="29"/>
  <c r="AU154" i="29"/>
  <c r="E47" i="79" s="1"/>
  <c r="AS6" i="29"/>
  <c r="AS16" i="29"/>
  <c r="AS158" i="29"/>
  <c r="AS154" i="29"/>
  <c r="E45" i="79" s="1"/>
  <c r="AS57" i="29"/>
  <c r="AS77" i="29"/>
  <c r="AS118" i="29"/>
  <c r="AS132" i="29"/>
  <c r="AS141" i="29"/>
  <c r="AQ65" i="29"/>
  <c r="AQ106" i="29"/>
  <c r="AQ132" i="29"/>
  <c r="AQ141" i="29"/>
  <c r="AQ158" i="29"/>
  <c r="AQ154" i="29"/>
  <c r="E43" i="79" s="1"/>
  <c r="AO6" i="29"/>
  <c r="AO16" i="29"/>
  <c r="AO57" i="29"/>
  <c r="AO89" i="29"/>
  <c r="AO118" i="29"/>
  <c r="AM57" i="29"/>
  <c r="AM118" i="29"/>
  <c r="AK6" i="29"/>
  <c r="AK16" i="29"/>
  <c r="AK57" i="29"/>
  <c r="AK77" i="29"/>
  <c r="AK158" i="29"/>
  <c r="AK154" i="29"/>
  <c r="E37" i="79" s="1"/>
  <c r="AK100" i="29"/>
  <c r="AK106" i="29"/>
  <c r="AK122" i="29"/>
  <c r="AI65" i="29"/>
  <c r="AG32" i="29"/>
  <c r="AG44" i="29"/>
  <c r="AG65" i="29"/>
  <c r="AG83" i="29"/>
  <c r="AG158" i="29"/>
  <c r="AG154" i="29"/>
  <c r="E33" i="79" s="1"/>
  <c r="AG132" i="29"/>
  <c r="AE65" i="29"/>
  <c r="AC32" i="29"/>
  <c r="AC44" i="29"/>
  <c r="AC65" i="29"/>
  <c r="AA65" i="29"/>
  <c r="Z32" i="29"/>
  <c r="Z44" i="29"/>
  <c r="Z57" i="29"/>
  <c r="Z77" i="29"/>
  <c r="Z118" i="29"/>
  <c r="Z158" i="29"/>
  <c r="Z154" i="29"/>
  <c r="E26" i="79" s="1"/>
  <c r="Z132" i="29"/>
  <c r="Z141" i="29"/>
  <c r="BF54" i="29"/>
  <c r="X54" i="29"/>
  <c r="X89" i="29"/>
  <c r="X28" i="29"/>
  <c r="X40" i="29"/>
  <c r="X65" i="29"/>
  <c r="BF87" i="29"/>
  <c r="BF97" i="29"/>
  <c r="X11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C65" i="29"/>
  <c r="BC28" i="29"/>
  <c r="BC40" i="29"/>
  <c r="AZ65" i="29"/>
  <c r="AZ28" i="29"/>
  <c r="AZ40" i="29"/>
  <c r="AZ77" i="29"/>
  <c r="AZ83" i="29"/>
  <c r="AZ89" i="29"/>
  <c r="AX57" i="29"/>
  <c r="AX6" i="29"/>
  <c r="AX16" i="29"/>
  <c r="AX32" i="29"/>
  <c r="AX44" i="29"/>
  <c r="AX106" i="29"/>
  <c r="AV65" i="29"/>
  <c r="AV6" i="29"/>
  <c r="AV16" i="29"/>
  <c r="AV32" i="29"/>
  <c r="AV44" i="29"/>
  <c r="AV83" i="29"/>
  <c r="AV89" i="29"/>
  <c r="AV158" i="29"/>
  <c r="AT57" i="29"/>
  <c r="AT6" i="29"/>
  <c r="AT16" i="29"/>
  <c r="AT32" i="29"/>
  <c r="AT44" i="29"/>
  <c r="AT106" i="29"/>
  <c r="AT77" i="29"/>
  <c r="AT83" i="29"/>
  <c r="AT89" i="29"/>
  <c r="AT132" i="29"/>
  <c r="AR65" i="29"/>
  <c r="AR28" i="29"/>
  <c r="AR40" i="29"/>
  <c r="AR77" i="29"/>
  <c r="AR83" i="29"/>
  <c r="AR89" i="29"/>
  <c r="AP57" i="29"/>
  <c r="AN65" i="29"/>
  <c r="AN28" i="29"/>
  <c r="AN40" i="29"/>
  <c r="AL57" i="29"/>
  <c r="AL6" i="29"/>
  <c r="AL16" i="29"/>
  <c r="AL32" i="29"/>
  <c r="AL44" i="29"/>
  <c r="AL106" i="29"/>
  <c r="AJ57" i="29"/>
  <c r="AJ65" i="29"/>
  <c r="BG85" i="29"/>
  <c r="AJ106" i="29"/>
  <c r="AJ132" i="29"/>
  <c r="AJ28" i="29"/>
  <c r="AJ40" i="29"/>
  <c r="BG86" i="29"/>
  <c r="AJ129" i="29"/>
  <c r="AJ154" i="29"/>
  <c r="E36" i="79" s="1"/>
  <c r="AH57" i="29"/>
  <c r="AH106" i="29"/>
  <c r="AF65" i="29"/>
  <c r="AF6" i="29"/>
  <c r="AF16" i="29"/>
  <c r="AF32" i="29"/>
  <c r="AF44" i="29"/>
  <c r="AF158" i="29"/>
  <c r="AD6" i="29"/>
  <c r="AD16" i="29"/>
  <c r="AD32" i="29"/>
  <c r="AD44" i="29"/>
  <c r="AB65" i="29"/>
  <c r="AB6" i="29"/>
  <c r="AB16" i="29"/>
  <c r="AB32" i="29"/>
  <c r="AB44" i="29"/>
  <c r="AB141" i="29"/>
  <c r="Y65" i="29"/>
  <c r="Y106" i="29"/>
  <c r="Y28" i="29"/>
  <c r="Y40" i="29"/>
  <c r="Y132" i="29"/>
  <c r="BF86"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G28" i="29"/>
  <c r="G40" i="29"/>
  <c r="BE85" i="29"/>
  <c r="G106" i="29"/>
  <c r="BD86" i="29"/>
  <c r="G129" i="29"/>
  <c r="E16" i="29"/>
  <c r="E65" i="29"/>
  <c r="E83" i="29"/>
  <c r="BD87" i="29"/>
  <c r="BD97" i="29"/>
  <c r="BE97" i="29"/>
  <c r="E118" i="29"/>
  <c r="E129" i="29"/>
  <c r="E141" i="29"/>
  <c r="BF170" i="23"/>
  <c r="BC170" i="23"/>
  <c r="AZ170" i="23"/>
  <c r="AX170" i="23"/>
  <c r="AV170" i="23"/>
  <c r="AT170" i="23"/>
  <c r="AR170" i="23"/>
  <c r="AP170" i="23"/>
  <c r="AN170" i="23"/>
  <c r="AL170" i="23"/>
  <c r="AJ170" i="23"/>
  <c r="AH170" i="23"/>
  <c r="AF170" i="23"/>
  <c r="AD170" i="23"/>
  <c r="AB170" i="23"/>
  <c r="Y170" i="23"/>
  <c r="W170" i="23"/>
  <c r="U170" i="23"/>
  <c r="S170" i="23"/>
  <c r="Q170" i="23"/>
  <c r="O170" i="23"/>
  <c r="M170" i="23"/>
  <c r="K170" i="23"/>
  <c r="I170" i="23"/>
  <c r="G170" i="23"/>
  <c r="AF76" i="23"/>
  <c r="AF37" i="42" s="1"/>
  <c r="AF10" i="36" s="1"/>
  <c r="AF16" i="36" s="1"/>
  <c r="AD76" i="23"/>
  <c r="AD37" i="42" s="1"/>
  <c r="AD10" i="36" s="1"/>
  <c r="AD16" i="36" s="1"/>
  <c r="AB76" i="23"/>
  <c r="AB37" i="42" s="1"/>
  <c r="AB10" i="36" s="1"/>
  <c r="AB16" i="36" s="1"/>
  <c r="Y76" i="23"/>
  <c r="Y37" i="42" s="1"/>
  <c r="Y10" i="36" s="1"/>
  <c r="Y16" i="36" s="1"/>
  <c r="W76" i="23"/>
  <c r="W37" i="42" s="1"/>
  <c r="W10" i="36" s="1"/>
  <c r="W16" i="36" s="1"/>
  <c r="U76" i="23"/>
  <c r="U37" i="42" s="1"/>
  <c r="U10" i="36" s="1"/>
  <c r="U16" i="36" s="1"/>
  <c r="S76" i="23"/>
  <c r="S37" i="42" s="1"/>
  <c r="S10" i="36" s="1"/>
  <c r="S16" i="36" s="1"/>
  <c r="Q76" i="23"/>
  <c r="Q37" i="42" s="1"/>
  <c r="Q10" i="36" s="1"/>
  <c r="Q16" i="36" s="1"/>
  <c r="O76" i="23"/>
  <c r="O37" i="42" s="1"/>
  <c r="O10" i="36" s="1"/>
  <c r="O16" i="36" s="1"/>
  <c r="D14" i="27"/>
  <c r="C11" i="26"/>
  <c r="BB6" i="29"/>
  <c r="BB16" i="29"/>
  <c r="BB77" i="29"/>
  <c r="BB83" i="29"/>
  <c r="BB65" i="29"/>
  <c r="BB179" i="29" s="1"/>
  <c r="BB118" i="29"/>
  <c r="BA28" i="29"/>
  <c r="BA40" i="29"/>
  <c r="BA32" i="29"/>
  <c r="BA44" i="29"/>
  <c r="BA57" i="29"/>
  <c r="BA77" i="29"/>
  <c r="BA89" i="29"/>
  <c r="BA158" i="29"/>
  <c r="BA154" i="29"/>
  <c r="E53" i="79" s="1"/>
  <c r="BA118" i="29"/>
  <c r="AY6" i="29"/>
  <c r="AY16" i="29"/>
  <c r="AY28" i="29"/>
  <c r="AY40" i="29"/>
  <c r="AY77" i="29"/>
  <c r="AY57" i="29"/>
  <c r="AY118" i="29"/>
  <c r="AW28" i="29"/>
  <c r="AW40" i="29"/>
  <c r="AW32" i="29"/>
  <c r="AW44" i="29"/>
  <c r="AW57" i="29"/>
  <c r="AW77" i="29"/>
  <c r="AW89" i="29"/>
  <c r="AW100" i="29"/>
  <c r="AW106" i="29"/>
  <c r="AW122" i="29"/>
  <c r="AW158" i="29"/>
  <c r="AW154" i="29"/>
  <c r="E49" i="79" s="1"/>
  <c r="AW132" i="29"/>
  <c r="AW141" i="29"/>
  <c r="AU6" i="29"/>
  <c r="AU16" i="29"/>
  <c r="AU77" i="29"/>
  <c r="AU83" i="29"/>
  <c r="AU65" i="29"/>
  <c r="AU118" i="29"/>
  <c r="AS32" i="29"/>
  <c r="AS44" i="29"/>
  <c r="AS65" i="29"/>
  <c r="AS83" i="29"/>
  <c r="AS100" i="29"/>
  <c r="AS106" i="29"/>
  <c r="AS122" i="29"/>
  <c r="AQ6" i="29"/>
  <c r="AQ16" i="29"/>
  <c r="AQ89" i="29"/>
  <c r="AQ57" i="29"/>
  <c r="AQ118" i="29"/>
  <c r="AO32" i="29"/>
  <c r="AO44" i="29"/>
  <c r="AO65" i="29"/>
  <c r="AO83" i="29"/>
  <c r="AO100" i="29"/>
  <c r="AO106" i="29"/>
  <c r="AO122" i="29"/>
  <c r="AO158" i="29"/>
  <c r="AO154" i="29"/>
  <c r="E41" i="79" s="1"/>
  <c r="AO132" i="29"/>
  <c r="AO141" i="29"/>
  <c r="AM6" i="29"/>
  <c r="AM16" i="29"/>
  <c r="AM77" i="29"/>
  <c r="AM83" i="29"/>
  <c r="AM65" i="29"/>
  <c r="AM100" i="29"/>
  <c r="AM106" i="29"/>
  <c r="AM122" i="29"/>
  <c r="AM132" i="29"/>
  <c r="AM141" i="29"/>
  <c r="AM158" i="29"/>
  <c r="AM154" i="29"/>
  <c r="E39" i="79" s="1"/>
  <c r="AK32" i="29"/>
  <c r="AK44" i="29"/>
  <c r="AK65" i="29"/>
  <c r="AK83" i="29"/>
  <c r="AK118" i="29"/>
  <c r="AK132" i="29"/>
  <c r="AK141" i="29"/>
  <c r="AI6" i="29"/>
  <c r="AI16" i="29"/>
  <c r="AI77" i="29"/>
  <c r="AI57" i="29"/>
  <c r="AI100" i="29"/>
  <c r="AI106" i="29"/>
  <c r="AI122" i="29"/>
  <c r="AI132" i="29"/>
  <c r="AI141" i="29"/>
  <c r="AI158" i="29"/>
  <c r="AI154" i="29"/>
  <c r="E35" i="79" s="1"/>
  <c r="AG28" i="29"/>
  <c r="AG40" i="29"/>
  <c r="AG6" i="29"/>
  <c r="AG16" i="29"/>
  <c r="AG57" i="29"/>
  <c r="AG77" i="29"/>
  <c r="AG89" i="29"/>
  <c r="AG100" i="29"/>
  <c r="AG106" i="29"/>
  <c r="AG122" i="29"/>
  <c r="AE6" i="29"/>
  <c r="AE16" i="29"/>
  <c r="AE77" i="29"/>
  <c r="AE57" i="29"/>
  <c r="AE100" i="29"/>
  <c r="AE106" i="29"/>
  <c r="AE122" i="29"/>
  <c r="AE132" i="29"/>
  <c r="AE141" i="29"/>
  <c r="AE158" i="29"/>
  <c r="AE154" i="29"/>
  <c r="E31" i="79" s="1"/>
  <c r="AC28" i="29"/>
  <c r="AC40" i="29"/>
  <c r="AC6" i="29"/>
  <c r="AC16" i="29"/>
  <c r="AC158" i="29"/>
  <c r="AC154" i="29"/>
  <c r="E29" i="79" s="1"/>
  <c r="AC57" i="29"/>
  <c r="AC77" i="29"/>
  <c r="AC89" i="29"/>
  <c r="AC100" i="29"/>
  <c r="AC106" i="29"/>
  <c r="AC122" i="29"/>
  <c r="AC132" i="29"/>
  <c r="AC141" i="29"/>
  <c r="AA6" i="29"/>
  <c r="AA16" i="29"/>
  <c r="AA77" i="29"/>
  <c r="AA57" i="29"/>
  <c r="AA100" i="29"/>
  <c r="AA106" i="29"/>
  <c r="AA122" i="29"/>
  <c r="AA132" i="29"/>
  <c r="AA141" i="29"/>
  <c r="AA158" i="29"/>
  <c r="AA154" i="29"/>
  <c r="E27" i="79" s="1"/>
  <c r="Z6" i="29"/>
  <c r="Z16" i="29"/>
  <c r="Z65" i="29"/>
  <c r="Z179" i="29" s="1"/>
  <c r="Z83" i="29"/>
  <c r="Z100" i="29"/>
  <c r="Z106" i="29"/>
  <c r="Z122" i="29"/>
  <c r="X6" i="29"/>
  <c r="X16" i="29"/>
  <c r="X77" i="29"/>
  <c r="BF98" i="29"/>
  <c r="X57" i="29"/>
  <c r="BF85" i="29"/>
  <c r="X100" i="29"/>
  <c r="X106" i="29"/>
  <c r="X122" i="29"/>
  <c r="X132" i="29"/>
  <c r="X141" i="29"/>
  <c r="X158" i="29"/>
  <c r="X154" i="29"/>
  <c r="E24" i="79" s="1"/>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C100" i="29"/>
  <c r="BC122" i="29"/>
  <c r="BC141" i="29"/>
  <c r="BC6" i="29"/>
  <c r="BC16" i="29"/>
  <c r="BC32" i="29"/>
  <c r="BC44" i="29"/>
  <c r="BC77" i="29"/>
  <c r="BC83" i="29"/>
  <c r="BC89" i="29"/>
  <c r="BC154" i="29"/>
  <c r="E55" i="79" s="1"/>
  <c r="AZ100" i="29"/>
  <c r="AZ122" i="29"/>
  <c r="AZ6" i="29"/>
  <c r="AZ16" i="29"/>
  <c r="AZ32" i="29"/>
  <c r="AZ44" i="29"/>
  <c r="AZ118" i="29"/>
  <c r="AZ141" i="29"/>
  <c r="AZ158" i="29"/>
  <c r="AX65" i="29"/>
  <c r="AX28" i="29"/>
  <c r="AX40" i="29"/>
  <c r="AX100" i="29"/>
  <c r="AX122" i="29"/>
  <c r="AX77" i="29"/>
  <c r="AX83" i="29"/>
  <c r="AX89" i="29"/>
  <c r="AX132" i="29"/>
  <c r="AX141" i="29"/>
  <c r="AX158" i="29"/>
  <c r="AX161" i="29" s="1"/>
  <c r="AV100" i="29"/>
  <c r="AV122" i="29"/>
  <c r="AV141" i="29"/>
  <c r="AV28" i="29"/>
  <c r="AV40" i="29"/>
  <c r="AV132" i="29"/>
  <c r="AT65" i="29"/>
  <c r="AT28" i="29"/>
  <c r="AT40" i="29"/>
  <c r="AT100" i="29"/>
  <c r="AT122" i="29"/>
  <c r="AT158" i="29"/>
  <c r="AR100" i="29"/>
  <c r="AR122" i="29"/>
  <c r="AR6" i="29"/>
  <c r="AR16" i="29"/>
  <c r="AR32" i="29"/>
  <c r="AR44" i="29"/>
  <c r="AR118" i="29"/>
  <c r="AR141" i="29"/>
  <c r="AR158" i="29"/>
  <c r="AR161" i="29" s="1"/>
  <c r="AP65" i="29"/>
  <c r="AP6" i="29"/>
  <c r="AP16" i="29"/>
  <c r="AP32" i="29"/>
  <c r="AP44" i="29"/>
  <c r="AP106" i="29"/>
  <c r="AP77" i="29"/>
  <c r="AP83" i="29"/>
  <c r="AP89" i="29"/>
  <c r="AP132" i="29"/>
  <c r="AP141" i="29"/>
  <c r="AP179" i="29" s="1"/>
  <c r="AP158" i="29"/>
  <c r="AN100" i="29"/>
  <c r="AN122" i="29"/>
  <c r="AN141" i="29"/>
  <c r="AN6" i="29"/>
  <c r="AN16" i="29"/>
  <c r="AN32" i="29"/>
  <c r="AN44" i="29"/>
  <c r="AN77" i="29"/>
  <c r="AN83" i="29"/>
  <c r="AN89" i="29"/>
  <c r="AN154" i="29"/>
  <c r="E40" i="79" s="1"/>
  <c r="AL65" i="29"/>
  <c r="AL28" i="29"/>
  <c r="AL40" i="29"/>
  <c r="AL100" i="29"/>
  <c r="AL122" i="29"/>
  <c r="AL77" i="29"/>
  <c r="AL83" i="29"/>
  <c r="AL89" i="29"/>
  <c r="AL132" i="29"/>
  <c r="AL141" i="29"/>
  <c r="AL158" i="29"/>
  <c r="AL161" i="29" s="1"/>
  <c r="AJ100" i="29"/>
  <c r="AJ122" i="29"/>
  <c r="AJ6" i="29"/>
  <c r="AJ16" i="29"/>
  <c r="AJ32" i="29"/>
  <c r="AJ44" i="29"/>
  <c r="AJ54" i="29"/>
  <c r="BG87" i="29"/>
  <c r="BG97" i="29"/>
  <c r="AJ118" i="29"/>
  <c r="AJ141" i="29"/>
  <c r="AJ77" i="29"/>
  <c r="AJ83" i="29"/>
  <c r="AJ89" i="29"/>
  <c r="BG98" i="29"/>
  <c r="AJ158" i="29"/>
  <c r="AH65" i="29"/>
  <c r="AH6" i="29"/>
  <c r="AH16" i="29"/>
  <c r="AH32" i="29"/>
  <c r="AH44" i="29"/>
  <c r="AH100" i="29"/>
  <c r="AH122" i="29"/>
  <c r="AH77" i="29"/>
  <c r="AH83" i="29"/>
  <c r="AH89" i="29"/>
  <c r="AH132" i="29"/>
  <c r="AH141" i="29"/>
  <c r="AH158" i="29"/>
  <c r="AF100" i="29"/>
  <c r="AF122" i="29"/>
  <c r="AF141" i="29"/>
  <c r="AF28" i="29"/>
  <c r="AF40" i="29"/>
  <c r="AF132" i="29"/>
  <c r="AF77" i="29"/>
  <c r="AF83" i="29"/>
  <c r="AF89" i="29"/>
  <c r="AD65" i="29"/>
  <c r="AD57" i="29"/>
  <c r="AD28" i="29"/>
  <c r="AD40" i="29"/>
  <c r="AD106" i="29"/>
  <c r="AD77" i="29"/>
  <c r="AD83" i="29"/>
  <c r="AD89" i="29"/>
  <c r="AD132" i="29"/>
  <c r="AD141" i="29"/>
  <c r="AD158" i="29"/>
  <c r="AD161" i="29" s="1"/>
  <c r="AB100" i="29"/>
  <c r="AB122" i="29"/>
  <c r="AB28" i="29"/>
  <c r="AB40" i="29"/>
  <c r="AB77" i="29"/>
  <c r="AB83" i="29"/>
  <c r="AB89" i="29"/>
  <c r="AB158" i="29"/>
  <c r="Y100" i="29"/>
  <c r="Y122" i="29"/>
  <c r="Y141" i="29"/>
  <c r="Y6" i="29"/>
  <c r="Y16" i="29"/>
  <c r="Y32" i="29"/>
  <c r="Y44" i="29"/>
  <c r="Y77" i="29"/>
  <c r="Y83" i="29"/>
  <c r="Y89" i="29"/>
  <c r="BF129" i="29"/>
  <c r="Y129"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G65" i="29"/>
  <c r="G57" i="29"/>
  <c r="BE87" i="29"/>
  <c r="G118" i="29"/>
  <c r="G6" i="29"/>
  <c r="G16" i="29"/>
  <c r="G32" i="29"/>
  <c r="G44" i="29"/>
  <c r="G54" i="29"/>
  <c r="G100" i="29"/>
  <c r="G122" i="29"/>
  <c r="G77" i="29"/>
  <c r="G83" i="29"/>
  <c r="G89" i="29"/>
  <c r="BE98" i="29"/>
  <c r="G132" i="29"/>
  <c r="G141" i="29"/>
  <c r="G158" i="29"/>
  <c r="G154" i="29"/>
  <c r="E7" i="79" s="1"/>
  <c r="E28" i="29"/>
  <c r="E40" i="29"/>
  <c r="E32" i="29"/>
  <c r="E44" i="29"/>
  <c r="E54" i="29"/>
  <c r="BE86" i="29"/>
  <c r="E57" i="29"/>
  <c r="E77" i="29"/>
  <c r="E89" i="29"/>
  <c r="BD98" i="29"/>
  <c r="BD85" i="29"/>
  <c r="E100" i="29"/>
  <c r="E106" i="29"/>
  <c r="E122" i="29"/>
  <c r="E158" i="29"/>
  <c r="E154" i="29"/>
  <c r="E5" i="79" s="1"/>
  <c r="E132" i="29"/>
  <c r="BD122" i="23"/>
  <c r="B22" i="80" s="1"/>
  <c r="BD132" i="23"/>
  <c r="C31" i="26"/>
  <c r="D55" i="27"/>
  <c r="C56" i="25"/>
  <c r="D77" i="27"/>
  <c r="C43" i="26"/>
  <c r="BD77" i="23"/>
  <c r="B16" i="80" s="1"/>
  <c r="BD154" i="23"/>
  <c r="BD54" i="42" s="1"/>
  <c r="D23" i="35" s="1"/>
  <c r="BD158" i="23"/>
  <c r="D31" i="27"/>
  <c r="C19" i="26"/>
  <c r="D9" i="27"/>
  <c r="BD141" i="23"/>
  <c r="BD106" i="23"/>
  <c r="BD100" i="23"/>
  <c r="B19" i="80" s="1"/>
  <c r="M76" i="23"/>
  <c r="M37" i="42" s="1"/>
  <c r="M10" i="36" s="1"/>
  <c r="M16" i="36" s="1"/>
  <c r="BD89" i="23"/>
  <c r="B18" i="80" s="1"/>
  <c r="BD83" i="23"/>
  <c r="B17" i="80" s="1"/>
  <c r="C31" i="25"/>
  <c r="BD65" i="23"/>
  <c r="B13" i="80" s="1"/>
  <c r="BD57" i="23"/>
  <c r="BD44" i="23"/>
  <c r="BD40" i="23"/>
  <c r="BD32" i="23"/>
  <c r="BD28" i="23"/>
  <c r="BD16" i="23"/>
  <c r="BG76" i="23"/>
  <c r="BG37" i="42" s="1"/>
  <c r="BF76" i="23"/>
  <c r="BF37" i="42" s="1"/>
  <c r="BE76" i="23"/>
  <c r="BE37" i="42" s="1"/>
  <c r="F6" i="23"/>
  <c r="G6" i="23"/>
  <c r="H6" i="23"/>
  <c r="H5" i="23" s="1"/>
  <c r="I6" i="23"/>
  <c r="J6" i="23"/>
  <c r="J5" i="23" s="1"/>
  <c r="K6" i="23"/>
  <c r="L6" i="23"/>
  <c r="L5" i="23" s="1"/>
  <c r="M6" i="23"/>
  <c r="N6" i="23"/>
  <c r="N5" i="23" s="1"/>
  <c r="O6" i="23"/>
  <c r="P6" i="23"/>
  <c r="P5" i="23" s="1"/>
  <c r="Q6" i="23"/>
  <c r="R6" i="23"/>
  <c r="R5" i="23" s="1"/>
  <c r="S6" i="23"/>
  <c r="T6" i="23"/>
  <c r="T5" i="23" s="1"/>
  <c r="U6" i="23"/>
  <c r="V6" i="23"/>
  <c r="V5" i="23" s="1"/>
  <c r="W6" i="23"/>
  <c r="W18" i="42" s="1"/>
  <c r="W7" i="37" s="1"/>
  <c r="W17" i="37" s="1"/>
  <c r="W19" i="37" s="1"/>
  <c r="W31" i="40" s="1"/>
  <c r="X6" i="23"/>
  <c r="X5" i="23" s="1"/>
  <c r="Y6" i="23"/>
  <c r="Z6" i="23"/>
  <c r="Z5" i="23" s="1"/>
  <c r="AA6" i="23"/>
  <c r="AB6" i="23"/>
  <c r="AB5" i="23" s="1"/>
  <c r="AC6" i="23"/>
  <c r="AD6" i="23"/>
  <c r="AE6" i="23"/>
  <c r="AF6" i="23"/>
  <c r="AF5" i="23" s="1"/>
  <c r="AG6" i="23"/>
  <c r="AH6" i="23"/>
  <c r="AI6" i="23"/>
  <c r="AJ6" i="23"/>
  <c r="AJ5" i="23" s="1"/>
  <c r="AK6" i="23"/>
  <c r="AL6" i="23"/>
  <c r="AM6" i="23"/>
  <c r="AN6" i="23"/>
  <c r="AO6" i="23"/>
  <c r="AP6" i="23"/>
  <c r="AQ6" i="23"/>
  <c r="AR6" i="23"/>
  <c r="AS6" i="23"/>
  <c r="AT6" i="23"/>
  <c r="AT5" i="23" s="1"/>
  <c r="AU6" i="23"/>
  <c r="AV6" i="23"/>
  <c r="AV5" i="23" s="1"/>
  <c r="AW6" i="23"/>
  <c r="AX6" i="23"/>
  <c r="AY6" i="23"/>
  <c r="AZ6" i="23"/>
  <c r="AZ5" i="23" s="1"/>
  <c r="BA6" i="23"/>
  <c r="BB6" i="23"/>
  <c r="BC6" i="23"/>
  <c r="BC5" i="23" s="1"/>
  <c r="BD6" i="23"/>
  <c r="BE6" i="23"/>
  <c r="BE18" i="42" s="1"/>
  <c r="BF6" i="23"/>
  <c r="BF18" i="42" s="1"/>
  <c r="BG6" i="23"/>
  <c r="BG18" i="42" s="1"/>
  <c r="F5" i="23"/>
  <c r="AD5" i="23"/>
  <c r="AH5" i="23"/>
  <c r="AL5" i="23"/>
  <c r="AN5" i="23"/>
  <c r="AP5" i="23"/>
  <c r="AR5" i="23"/>
  <c r="AX5" i="23"/>
  <c r="AX160" i="23" s="1"/>
  <c r="AX161" i="23" s="1"/>
  <c r="E154" i="23"/>
  <c r="E158" i="23"/>
  <c r="E161" i="48" s="1"/>
  <c r="E141" i="23"/>
  <c r="E53" i="42" s="1"/>
  <c r="E12" i="36" s="1"/>
  <c r="BD12" i="36" s="1"/>
  <c r="E132" i="23"/>
  <c r="E129" i="23"/>
  <c r="E50" i="42" s="1"/>
  <c r="E11" i="36" s="1"/>
  <c r="BD11" i="36" s="1"/>
  <c r="E122" i="23"/>
  <c r="E118" i="23"/>
  <c r="E47" i="42" s="1"/>
  <c r="E26" i="35" s="1"/>
  <c r="BD26" i="35" s="1"/>
  <c r="E106" i="23"/>
  <c r="E100" i="23"/>
  <c r="E89" i="23"/>
  <c r="E83" i="23"/>
  <c r="E77" i="23"/>
  <c r="E65" i="23"/>
  <c r="E57" i="23"/>
  <c r="E54" i="23"/>
  <c r="E44" i="23"/>
  <c r="E26" i="42" s="1"/>
  <c r="E12" i="37" s="1"/>
  <c r="BD12" i="37" s="1"/>
  <c r="E40" i="23"/>
  <c r="E25" i="42" s="1"/>
  <c r="E25" i="35" s="1"/>
  <c r="BD25" i="35" s="1"/>
  <c r="E32" i="23"/>
  <c r="E22" i="42" s="1"/>
  <c r="E28" i="23"/>
  <c r="E21" i="42" s="1"/>
  <c r="E16" i="23"/>
  <c r="E19" i="42" s="1"/>
  <c r="E8" i="37" s="1"/>
  <c r="BD8" i="37" s="1"/>
  <c r="E6" i="23"/>
  <c r="E18" i="42" s="1"/>
  <c r="E7" i="37" s="1"/>
  <c r="D11" i="35" l="1"/>
  <c r="D15" i="37"/>
  <c r="BD50" i="42"/>
  <c r="D11" i="36" s="1"/>
  <c r="D26" i="37"/>
  <c r="D28" i="37"/>
  <c r="D5" i="36"/>
  <c r="D8" i="36" s="1"/>
  <c r="D29" i="37"/>
  <c r="D30" i="37"/>
  <c r="D27" i="35"/>
  <c r="R160" i="23"/>
  <c r="R161" i="23" s="1"/>
  <c r="AP161" i="29"/>
  <c r="AF161" i="29"/>
  <c r="D13" i="36"/>
  <c r="D31" i="35"/>
  <c r="C10" i="45"/>
  <c r="BF40" i="29"/>
  <c r="I34" i="35"/>
  <c r="I17" i="38" s="1"/>
  <c r="K34" i="35"/>
  <c r="K22" i="40" s="1"/>
  <c r="M34" i="35"/>
  <c r="M17" i="38" s="1"/>
  <c r="O34" i="35"/>
  <c r="O17" i="38" s="1"/>
  <c r="S161" i="29"/>
  <c r="AT161" i="29"/>
  <c r="AU179" i="29"/>
  <c r="BF10" i="37"/>
  <c r="R34" i="35"/>
  <c r="R22" i="40" s="1"/>
  <c r="AA34" i="35"/>
  <c r="AA41" i="35" s="1"/>
  <c r="AA24" i="40" s="1"/>
  <c r="AC34" i="35"/>
  <c r="AG34" i="35"/>
  <c r="AG41" i="35" s="1"/>
  <c r="AG24" i="40" s="1"/>
  <c r="AQ34" i="35"/>
  <c r="AQ17" i="38" s="1"/>
  <c r="AU34" i="35"/>
  <c r="AU41" i="35" s="1"/>
  <c r="AU24" i="40" s="1"/>
  <c r="BB34" i="35"/>
  <c r="BB17" i="38" s="1"/>
  <c r="D15" i="35"/>
  <c r="D17" i="35" s="1"/>
  <c r="D17" i="40" s="1"/>
  <c r="E24" i="35"/>
  <c r="BD24" i="35" s="1"/>
  <c r="E27" i="37"/>
  <c r="E54" i="42"/>
  <c r="E23" i="35" s="1"/>
  <c r="D5" i="79"/>
  <c r="B5" i="80"/>
  <c r="BD18" i="42"/>
  <c r="D7" i="37" s="1"/>
  <c r="BB172" i="23"/>
  <c r="BB18" i="42"/>
  <c r="BB7" i="37" s="1"/>
  <c r="BB17" i="37" s="1"/>
  <c r="BB19" i="37" s="1"/>
  <c r="BB31" i="40" s="1"/>
  <c r="BA172" i="23"/>
  <c r="BA18" i="42"/>
  <c r="BA7" i="37" s="1"/>
  <c r="BA17" i="37" s="1"/>
  <c r="BA19" i="37" s="1"/>
  <c r="BA31" i="40" s="1"/>
  <c r="AY172" i="23"/>
  <c r="AY18" i="42"/>
  <c r="AY7" i="37" s="1"/>
  <c r="AY17" i="37" s="1"/>
  <c r="AY19" i="37" s="1"/>
  <c r="AY31" i="40" s="1"/>
  <c r="D30" i="43" s="1"/>
  <c r="AW172" i="23"/>
  <c r="AW18" i="42"/>
  <c r="AW7" i="37" s="1"/>
  <c r="AW17" i="37" s="1"/>
  <c r="AW19" i="37" s="1"/>
  <c r="AW31" i="40" s="1"/>
  <c r="AU172" i="23"/>
  <c r="AU18" i="42"/>
  <c r="AU7" i="37" s="1"/>
  <c r="AU17" i="37" s="1"/>
  <c r="AU19" i="37" s="1"/>
  <c r="AU31" i="40" s="1"/>
  <c r="AS172" i="23"/>
  <c r="AS18" i="42"/>
  <c r="AS7" i="37" s="1"/>
  <c r="AS17" i="37" s="1"/>
  <c r="AS19" i="37" s="1"/>
  <c r="AS31" i="40" s="1"/>
  <c r="AQ172" i="23"/>
  <c r="AQ18" i="42"/>
  <c r="AQ7" i="37" s="1"/>
  <c r="AQ17" i="37" s="1"/>
  <c r="AQ19" i="37" s="1"/>
  <c r="AQ31" i="40" s="1"/>
  <c r="AO172" i="23"/>
  <c r="AO18" i="42"/>
  <c r="AO7" i="37" s="1"/>
  <c r="AO17" i="37" s="1"/>
  <c r="AO19" i="37" s="1"/>
  <c r="AO31" i="40" s="1"/>
  <c r="AM172" i="23"/>
  <c r="AM18" i="42"/>
  <c r="AM7" i="37" s="1"/>
  <c r="AM17" i="37" s="1"/>
  <c r="AM19" i="37" s="1"/>
  <c r="AM31" i="40" s="1"/>
  <c r="AK172" i="23"/>
  <c r="AK18" i="42"/>
  <c r="AK7" i="37" s="1"/>
  <c r="AK17" i="37" s="1"/>
  <c r="AK19" i="37" s="1"/>
  <c r="AK31" i="40" s="1"/>
  <c r="AI172" i="23"/>
  <c r="AI18" i="42"/>
  <c r="AI7" i="37" s="1"/>
  <c r="AI17" i="37" s="1"/>
  <c r="AI19" i="37" s="1"/>
  <c r="AI31" i="40" s="1"/>
  <c r="AG172" i="23"/>
  <c r="AG18" i="42"/>
  <c r="AG7" i="37" s="1"/>
  <c r="AG17" i="37" s="1"/>
  <c r="AG19" i="37" s="1"/>
  <c r="AG31" i="40" s="1"/>
  <c r="AE172" i="23"/>
  <c r="AE18" i="42"/>
  <c r="AE7" i="37" s="1"/>
  <c r="AE17" i="37" s="1"/>
  <c r="AE19" i="37" s="1"/>
  <c r="AE31" i="40" s="1"/>
  <c r="AC172" i="23"/>
  <c r="AC18" i="42"/>
  <c r="AC7" i="37" s="1"/>
  <c r="AC17" i="37" s="1"/>
  <c r="AC19" i="37" s="1"/>
  <c r="AC31" i="40" s="1"/>
  <c r="AA172" i="23"/>
  <c r="AA18" i="42"/>
  <c r="AA7" i="37" s="1"/>
  <c r="AA17" i="37" s="1"/>
  <c r="AA19" i="37" s="1"/>
  <c r="AA31" i="40" s="1"/>
  <c r="Y172" i="23"/>
  <c r="Y18" i="42"/>
  <c r="Y7" i="37" s="1"/>
  <c r="Y17" i="37" s="1"/>
  <c r="Y19" i="37" s="1"/>
  <c r="Y31" i="40" s="1"/>
  <c r="U172" i="23"/>
  <c r="U18" i="42"/>
  <c r="U7" i="37" s="1"/>
  <c r="U17" i="37" s="1"/>
  <c r="U19" i="37" s="1"/>
  <c r="U31" i="40" s="1"/>
  <c r="S172" i="23"/>
  <c r="C9" i="45" s="1"/>
  <c r="S18" i="42"/>
  <c r="S7" i="37" s="1"/>
  <c r="S17" i="37" s="1"/>
  <c r="S19" i="37" s="1"/>
  <c r="S31" i="40" s="1"/>
  <c r="Q172" i="23"/>
  <c r="Q18" i="42"/>
  <c r="Q7" i="37" s="1"/>
  <c r="Q17" i="37" s="1"/>
  <c r="Q19" i="37" s="1"/>
  <c r="Q31" i="40" s="1"/>
  <c r="O172" i="23"/>
  <c r="O18" i="42"/>
  <c r="O7" i="37" s="1"/>
  <c r="O17" i="37" s="1"/>
  <c r="O19" i="37" s="1"/>
  <c r="O31" i="40" s="1"/>
  <c r="M172" i="23"/>
  <c r="M18" i="42"/>
  <c r="M7" i="37" s="1"/>
  <c r="M17" i="37" s="1"/>
  <c r="M19" i="37" s="1"/>
  <c r="M31" i="40" s="1"/>
  <c r="K172" i="23"/>
  <c r="K18" i="42"/>
  <c r="K7" i="37" s="1"/>
  <c r="K17" i="37" s="1"/>
  <c r="K19" i="37" s="1"/>
  <c r="K31" i="40" s="1"/>
  <c r="I172" i="23"/>
  <c r="I18" i="42"/>
  <c r="I7" i="37" s="1"/>
  <c r="I17" i="37" s="1"/>
  <c r="I19" i="37" s="1"/>
  <c r="I31" i="40" s="1"/>
  <c r="G172" i="23"/>
  <c r="G18" i="42"/>
  <c r="G7" i="37" s="1"/>
  <c r="G17" i="37" s="1"/>
  <c r="G19" i="37" s="1"/>
  <c r="G31" i="40" s="1"/>
  <c r="B7" i="80"/>
  <c r="BD21" i="42"/>
  <c r="B9" i="80"/>
  <c r="BD25" i="42"/>
  <c r="D25" i="35" s="1"/>
  <c r="B25" i="80"/>
  <c r="BD53" i="42"/>
  <c r="D12" i="36" s="1"/>
  <c r="Q19" i="38"/>
  <c r="Q31" i="36"/>
  <c r="Q33" i="36" s="1"/>
  <c r="Q29" i="40" s="1"/>
  <c r="Q18" i="36"/>
  <c r="Q27" i="40" s="1"/>
  <c r="Q34" i="37"/>
  <c r="Q36" i="37" s="1"/>
  <c r="Q33" i="40" s="1"/>
  <c r="U19" i="38"/>
  <c r="U31" i="36"/>
  <c r="U33" i="36" s="1"/>
  <c r="U29" i="40" s="1"/>
  <c r="U18" i="36"/>
  <c r="U27" i="40" s="1"/>
  <c r="U34" i="37"/>
  <c r="U36" i="37" s="1"/>
  <c r="U33" i="40" s="1"/>
  <c r="Y19" i="38"/>
  <c r="Y31" i="36"/>
  <c r="Y33" i="36" s="1"/>
  <c r="Y29" i="40" s="1"/>
  <c r="Y18" i="36"/>
  <c r="Y27" i="40" s="1"/>
  <c r="Y34" i="37"/>
  <c r="Y36" i="37" s="1"/>
  <c r="Y33" i="40" s="1"/>
  <c r="AD19" i="38"/>
  <c r="AD31" i="36"/>
  <c r="AD33" i="36" s="1"/>
  <c r="AD29" i="40" s="1"/>
  <c r="AD18" i="36"/>
  <c r="AD27" i="40" s="1"/>
  <c r="AD34" i="37"/>
  <c r="AD36" i="37" s="1"/>
  <c r="AD33" i="40" s="1"/>
  <c r="G19" i="38"/>
  <c r="G31" i="36"/>
  <c r="G33" i="36" s="1"/>
  <c r="G29" i="40" s="1"/>
  <c r="G18" i="36"/>
  <c r="G27" i="40" s="1"/>
  <c r="G34" i="37"/>
  <c r="G36" i="37" s="1"/>
  <c r="G33" i="40" s="1"/>
  <c r="AH34" i="37"/>
  <c r="AH36" i="37" s="1"/>
  <c r="AH33" i="40" s="1"/>
  <c r="AH31" i="36"/>
  <c r="AH33" i="36" s="1"/>
  <c r="AH29" i="40" s="1"/>
  <c r="AH19" i="38"/>
  <c r="AH18" i="36"/>
  <c r="AH27" i="40" s="1"/>
  <c r="AL34" i="37"/>
  <c r="AL36" i="37" s="1"/>
  <c r="AL33" i="40" s="1"/>
  <c r="AL18" i="36"/>
  <c r="AL27" i="40" s="1"/>
  <c r="AL19" i="38"/>
  <c r="AL31" i="36"/>
  <c r="AL33" i="36" s="1"/>
  <c r="AL29" i="40" s="1"/>
  <c r="AP34" i="37"/>
  <c r="AP36" i="37" s="1"/>
  <c r="AP33" i="40" s="1"/>
  <c r="AP18" i="36"/>
  <c r="AP27" i="40" s="1"/>
  <c r="AP19" i="38"/>
  <c r="AP31" i="36"/>
  <c r="AP33" i="36" s="1"/>
  <c r="AP29" i="40" s="1"/>
  <c r="AT34" i="37"/>
  <c r="AT36" i="37" s="1"/>
  <c r="AT33" i="40" s="1"/>
  <c r="AT18" i="36"/>
  <c r="AT27" i="40" s="1"/>
  <c r="AT19" i="38"/>
  <c r="AT31" i="36"/>
  <c r="AT33" i="36" s="1"/>
  <c r="AT29" i="40" s="1"/>
  <c r="AX34" i="37"/>
  <c r="AX36" i="37" s="1"/>
  <c r="AX33" i="40" s="1"/>
  <c r="AX18" i="36"/>
  <c r="AX27" i="40" s="1"/>
  <c r="AX19" i="38"/>
  <c r="AX31" i="36"/>
  <c r="AX33" i="36" s="1"/>
  <c r="AX29" i="40" s="1"/>
  <c r="F34" i="37"/>
  <c r="F36" i="37" s="1"/>
  <c r="F33" i="40" s="1"/>
  <c r="F18" i="36"/>
  <c r="F27" i="40" s="1"/>
  <c r="F19" i="38"/>
  <c r="F31" i="36"/>
  <c r="F33" i="36" s="1"/>
  <c r="F29" i="40" s="1"/>
  <c r="J34" i="37"/>
  <c r="J36" i="37" s="1"/>
  <c r="J33" i="40" s="1"/>
  <c r="J18" i="36"/>
  <c r="J27" i="40" s="1"/>
  <c r="J19" i="38"/>
  <c r="J31" i="36"/>
  <c r="J33" i="36" s="1"/>
  <c r="J29" i="40" s="1"/>
  <c r="P34" i="37"/>
  <c r="P36" i="37" s="1"/>
  <c r="P33" i="40" s="1"/>
  <c r="P18" i="36"/>
  <c r="P27" i="40" s="1"/>
  <c r="P19" i="38"/>
  <c r="P31" i="36"/>
  <c r="P33" i="36" s="1"/>
  <c r="P29" i="40" s="1"/>
  <c r="X16" i="36"/>
  <c r="BE10" i="36"/>
  <c r="AE34" i="37"/>
  <c r="AE36" i="37" s="1"/>
  <c r="AE33" i="40" s="1"/>
  <c r="AE18" i="36"/>
  <c r="AE27" i="40" s="1"/>
  <c r="AE19" i="38"/>
  <c r="AE31" i="36"/>
  <c r="AE33" i="36" s="1"/>
  <c r="AE29" i="40" s="1"/>
  <c r="AM19" i="38"/>
  <c r="AM31" i="36"/>
  <c r="AM33" i="36" s="1"/>
  <c r="AM29" i="40" s="1"/>
  <c r="AM34" i="37"/>
  <c r="AM36" i="37" s="1"/>
  <c r="AM33" i="40" s="1"/>
  <c r="AM18" i="36"/>
  <c r="AM27" i="40" s="1"/>
  <c r="AU19" i="38"/>
  <c r="AU31" i="36"/>
  <c r="AU33" i="36" s="1"/>
  <c r="AU29" i="40" s="1"/>
  <c r="AU34" i="37"/>
  <c r="AU36" i="37" s="1"/>
  <c r="AU33" i="40" s="1"/>
  <c r="AU18" i="36"/>
  <c r="AU27" i="40" s="1"/>
  <c r="BB19" i="38"/>
  <c r="BB31" i="36"/>
  <c r="BB33" i="36" s="1"/>
  <c r="BB29" i="40" s="1"/>
  <c r="BB34" i="37"/>
  <c r="BB36" i="37" s="1"/>
  <c r="BB33" i="40" s="1"/>
  <c r="BB18" i="36"/>
  <c r="BB27" i="40" s="1"/>
  <c r="V34" i="37"/>
  <c r="V36" i="37" s="1"/>
  <c r="V33" i="40" s="1"/>
  <c r="V18" i="36"/>
  <c r="V27" i="40" s="1"/>
  <c r="V19" i="38"/>
  <c r="V31" i="36"/>
  <c r="V33" i="36" s="1"/>
  <c r="V29" i="40" s="1"/>
  <c r="AK19" i="38"/>
  <c r="AK31" i="36"/>
  <c r="AK33" i="36" s="1"/>
  <c r="AK29" i="40" s="1"/>
  <c r="AK34" i="37"/>
  <c r="AK36" i="37" s="1"/>
  <c r="AK33" i="40" s="1"/>
  <c r="AK18" i="36"/>
  <c r="AK27" i="40" s="1"/>
  <c r="BA19" i="38"/>
  <c r="BA31" i="36"/>
  <c r="BA33" i="36" s="1"/>
  <c r="BA29" i="40" s="1"/>
  <c r="BA34" i="37"/>
  <c r="BA36" i="37" s="1"/>
  <c r="BA33" i="40" s="1"/>
  <c r="BA18" i="36"/>
  <c r="BA27" i="40" s="1"/>
  <c r="Z34" i="37"/>
  <c r="Z36" i="37" s="1"/>
  <c r="Z33" i="40" s="1"/>
  <c r="Z18" i="36"/>
  <c r="Z27" i="40" s="1"/>
  <c r="Z19" i="38"/>
  <c r="Z31" i="36"/>
  <c r="Z33" i="36" s="1"/>
  <c r="Z29" i="40" s="1"/>
  <c r="I19" i="38"/>
  <c r="I31" i="36"/>
  <c r="I33" i="36" s="1"/>
  <c r="I29" i="40" s="1"/>
  <c r="I18" i="36"/>
  <c r="I27" i="40" s="1"/>
  <c r="I34" i="37"/>
  <c r="I36" i="37" s="1"/>
  <c r="I33" i="40" s="1"/>
  <c r="AW19" i="38"/>
  <c r="AW31" i="36"/>
  <c r="AW33" i="36" s="1"/>
  <c r="AW29" i="40" s="1"/>
  <c r="AW34" i="37"/>
  <c r="AW36" i="37" s="1"/>
  <c r="AW33" i="40" s="1"/>
  <c r="AW18" i="36"/>
  <c r="AW27" i="40" s="1"/>
  <c r="E12" i="46"/>
  <c r="E9" i="46"/>
  <c r="I22" i="40"/>
  <c r="I41" i="35"/>
  <c r="I24" i="40" s="1"/>
  <c r="K41" i="35"/>
  <c r="K24" i="40" s="1"/>
  <c r="M41" i="35"/>
  <c r="M24" i="40" s="1"/>
  <c r="M22" i="40"/>
  <c r="O22" i="40"/>
  <c r="O41" i="35"/>
  <c r="O24" i="40" s="1"/>
  <c r="BF23" i="35"/>
  <c r="AJ34" i="35"/>
  <c r="BE26" i="38"/>
  <c r="X33" i="38"/>
  <c r="R41" i="35"/>
  <c r="R24" i="40" s="1"/>
  <c r="AB34" i="35"/>
  <c r="AD34" i="35"/>
  <c r="AF34" i="35"/>
  <c r="AH34" i="35"/>
  <c r="AL34" i="35"/>
  <c r="AN34" i="35"/>
  <c r="AP34" i="35"/>
  <c r="AR34" i="35"/>
  <c r="AT34" i="35"/>
  <c r="AV34" i="35"/>
  <c r="AX34" i="35"/>
  <c r="AZ34" i="35"/>
  <c r="BC34" i="35"/>
  <c r="G34" i="35"/>
  <c r="Q34" i="35"/>
  <c r="S34" i="35"/>
  <c r="U34" i="35"/>
  <c r="W34" i="35"/>
  <c r="Y34" i="35"/>
  <c r="AC17" i="38"/>
  <c r="AC41" i="35"/>
  <c r="AC24" i="40" s="1"/>
  <c r="AC22" i="40"/>
  <c r="AG22" i="40"/>
  <c r="AK41" i="35"/>
  <c r="AK24" i="40" s="1"/>
  <c r="AK17" i="38"/>
  <c r="AK22" i="40"/>
  <c r="AQ41" i="35"/>
  <c r="AQ24" i="40" s="1"/>
  <c r="AY17" i="38"/>
  <c r="AY41" i="35"/>
  <c r="AY24" i="40" s="1"/>
  <c r="D24" i="43" s="1"/>
  <c r="AY22" i="40"/>
  <c r="D22" i="43" s="1"/>
  <c r="BB41" i="35"/>
  <c r="BB24" i="40" s="1"/>
  <c r="E26" i="38"/>
  <c r="E10" i="37"/>
  <c r="BD10" i="37" s="1"/>
  <c r="BF5" i="23"/>
  <c r="BF160" i="23" s="1"/>
  <c r="BF161" i="23" s="1"/>
  <c r="BB5" i="23"/>
  <c r="BB160" i="23" s="1"/>
  <c r="BB161" i="23" s="1"/>
  <c r="BA5" i="23"/>
  <c r="AY5" i="23"/>
  <c r="AY160" i="23" s="1"/>
  <c r="AY161" i="23" s="1"/>
  <c r="AW5" i="23"/>
  <c r="AW160" i="23" s="1"/>
  <c r="AW161" i="23" s="1"/>
  <c r="AU5" i="23"/>
  <c r="AU160" i="23" s="1"/>
  <c r="AU161" i="23" s="1"/>
  <c r="AS5" i="23"/>
  <c r="AS160" i="23" s="1"/>
  <c r="AS161" i="23" s="1"/>
  <c r="AQ5" i="23"/>
  <c r="AQ160" i="23" s="1"/>
  <c r="AQ161" i="23" s="1"/>
  <c r="AO5" i="23"/>
  <c r="AO160" i="23" s="1"/>
  <c r="AO161" i="23" s="1"/>
  <c r="AM5" i="23"/>
  <c r="AM160" i="23" s="1"/>
  <c r="AM161" i="23" s="1"/>
  <c r="AK5" i="23"/>
  <c r="AK160" i="23" s="1"/>
  <c r="AK161" i="23" s="1"/>
  <c r="AI5" i="23"/>
  <c r="AI160" i="23" s="1"/>
  <c r="AI161" i="23" s="1"/>
  <c r="AG5" i="23"/>
  <c r="AE5" i="23"/>
  <c r="AC5" i="23"/>
  <c r="AA5" i="23"/>
  <c r="AA160" i="23" s="1"/>
  <c r="AA161" i="23" s="1"/>
  <c r="Y5" i="23"/>
  <c r="Y160" i="23" s="1"/>
  <c r="Y161" i="23" s="1"/>
  <c r="W5" i="23"/>
  <c r="W160" i="23" s="1"/>
  <c r="W161" i="23" s="1"/>
  <c r="U5" i="23"/>
  <c r="S5" i="23"/>
  <c r="S160" i="23" s="1"/>
  <c r="S161" i="23" s="1"/>
  <c r="Q5" i="23"/>
  <c r="Q160" i="23" s="1"/>
  <c r="Q161" i="23" s="1"/>
  <c r="O5" i="23"/>
  <c r="O160" i="23" s="1"/>
  <c r="O161" i="23" s="1"/>
  <c r="M5" i="23"/>
  <c r="K5" i="23"/>
  <c r="K160" i="23" s="1"/>
  <c r="K161" i="23" s="1"/>
  <c r="I5" i="23"/>
  <c r="I160" i="23" s="1"/>
  <c r="I161" i="23" s="1"/>
  <c r="G5" i="23"/>
  <c r="G160" i="23" s="1"/>
  <c r="G161" i="23" s="1"/>
  <c r="BC172" i="23"/>
  <c r="BC18" i="42"/>
  <c r="BC7" i="37" s="1"/>
  <c r="BC17" i="37" s="1"/>
  <c r="BC19" i="37" s="1"/>
  <c r="BC31" i="40" s="1"/>
  <c r="AZ172" i="23"/>
  <c r="AZ18" i="42"/>
  <c r="AZ7" i="37" s="1"/>
  <c r="AZ17" i="37" s="1"/>
  <c r="AZ19" i="37" s="1"/>
  <c r="AZ31" i="40" s="1"/>
  <c r="AX172" i="23"/>
  <c r="AX18" i="42"/>
  <c r="AX7" i="37" s="1"/>
  <c r="AX17" i="37" s="1"/>
  <c r="AX19" i="37" s="1"/>
  <c r="AX31" i="40" s="1"/>
  <c r="AV172" i="23"/>
  <c r="AV18" i="42"/>
  <c r="AV7" i="37" s="1"/>
  <c r="AV17" i="37" s="1"/>
  <c r="AV19" i="37" s="1"/>
  <c r="AV31" i="40" s="1"/>
  <c r="AT172" i="23"/>
  <c r="AT18" i="42"/>
  <c r="AT7" i="37" s="1"/>
  <c r="AT17" i="37" s="1"/>
  <c r="AT19" i="37" s="1"/>
  <c r="AT31" i="40" s="1"/>
  <c r="AR172" i="23"/>
  <c r="AR18" i="42"/>
  <c r="AR7" i="37" s="1"/>
  <c r="AR17" i="37" s="1"/>
  <c r="AR19" i="37" s="1"/>
  <c r="AR31" i="40" s="1"/>
  <c r="AP172" i="23"/>
  <c r="AP18" i="42"/>
  <c r="AP7" i="37" s="1"/>
  <c r="AP17" i="37" s="1"/>
  <c r="AP19" i="37" s="1"/>
  <c r="AP31" i="40" s="1"/>
  <c r="AN172" i="23"/>
  <c r="AN18" i="42"/>
  <c r="AN7" i="37" s="1"/>
  <c r="AN17" i="37" s="1"/>
  <c r="AN19" i="37" s="1"/>
  <c r="AN31" i="40" s="1"/>
  <c r="AL172" i="23"/>
  <c r="AL18" i="42"/>
  <c r="AL7" i="37" s="1"/>
  <c r="AL17" i="37" s="1"/>
  <c r="AL19" i="37" s="1"/>
  <c r="AL31" i="40" s="1"/>
  <c r="AJ172" i="23"/>
  <c r="AJ18" i="42"/>
  <c r="AJ7" i="37" s="1"/>
  <c r="AH172" i="23"/>
  <c r="AH18" i="42"/>
  <c r="AH7" i="37" s="1"/>
  <c r="AH17" i="37" s="1"/>
  <c r="AH19" i="37" s="1"/>
  <c r="AH31" i="40" s="1"/>
  <c r="AF172" i="23"/>
  <c r="AF18" i="42"/>
  <c r="AF7" i="37" s="1"/>
  <c r="AF17" i="37" s="1"/>
  <c r="AF19" i="37" s="1"/>
  <c r="AF31" i="40" s="1"/>
  <c r="AD172" i="23"/>
  <c r="AD18" i="42"/>
  <c r="AD7" i="37" s="1"/>
  <c r="AD17" i="37" s="1"/>
  <c r="AD19" i="37" s="1"/>
  <c r="AD31" i="40" s="1"/>
  <c r="AB172" i="23"/>
  <c r="AB18" i="42"/>
  <c r="AB7" i="37" s="1"/>
  <c r="AB17" i="37" s="1"/>
  <c r="AB19" i="37" s="1"/>
  <c r="AB31" i="40" s="1"/>
  <c r="Z172" i="23"/>
  <c r="Z18" i="42"/>
  <c r="Z7" i="37" s="1"/>
  <c r="Z17" i="37" s="1"/>
  <c r="Z19" i="37" s="1"/>
  <c r="Z31" i="40" s="1"/>
  <c r="X172" i="23"/>
  <c r="X18" i="42"/>
  <c r="X7" i="37" s="1"/>
  <c r="V172" i="23"/>
  <c r="V18" i="42"/>
  <c r="V7" i="37" s="1"/>
  <c r="V17" i="37" s="1"/>
  <c r="V19" i="37" s="1"/>
  <c r="V31" i="40" s="1"/>
  <c r="T172" i="23"/>
  <c r="T18" i="42"/>
  <c r="T7" i="37" s="1"/>
  <c r="T17" i="37" s="1"/>
  <c r="T19" i="37" s="1"/>
  <c r="T31" i="40" s="1"/>
  <c r="R172" i="23"/>
  <c r="R18" i="42"/>
  <c r="R7" i="37" s="1"/>
  <c r="R17" i="37" s="1"/>
  <c r="R19" i="37" s="1"/>
  <c r="R31" i="40" s="1"/>
  <c r="P172" i="23"/>
  <c r="P18" i="42"/>
  <c r="P7" i="37" s="1"/>
  <c r="P17" i="37" s="1"/>
  <c r="P19" i="37" s="1"/>
  <c r="P31" i="40" s="1"/>
  <c r="N172" i="23"/>
  <c r="N18" i="42"/>
  <c r="N7" i="37" s="1"/>
  <c r="N17" i="37" s="1"/>
  <c r="N19" i="37" s="1"/>
  <c r="N31" i="40" s="1"/>
  <c r="L172" i="23"/>
  <c r="L18" i="42"/>
  <c r="L7" i="37" s="1"/>
  <c r="L17" i="37" s="1"/>
  <c r="L19" i="37" s="1"/>
  <c r="L31" i="40" s="1"/>
  <c r="J172" i="23"/>
  <c r="J18" i="42"/>
  <c r="J7" i="37" s="1"/>
  <c r="J17" i="37" s="1"/>
  <c r="J19" i="37" s="1"/>
  <c r="J31" i="40" s="1"/>
  <c r="H172" i="23"/>
  <c r="H18" i="42"/>
  <c r="H7" i="37" s="1"/>
  <c r="H17" i="37" s="1"/>
  <c r="H19" i="37" s="1"/>
  <c r="H31" i="40" s="1"/>
  <c r="F172" i="23"/>
  <c r="F18" i="42"/>
  <c r="F7" i="37" s="1"/>
  <c r="F17" i="37" s="1"/>
  <c r="F19" i="37" s="1"/>
  <c r="F31" i="40" s="1"/>
  <c r="B6" i="80"/>
  <c r="BD19" i="42"/>
  <c r="D8" i="37" s="1"/>
  <c r="B8" i="80"/>
  <c r="BD22" i="42"/>
  <c r="B10" i="80"/>
  <c r="BD26" i="42"/>
  <c r="D12" i="37" s="1"/>
  <c r="M19" i="38"/>
  <c r="M31" i="36"/>
  <c r="M33" i="36" s="1"/>
  <c r="M29" i="40" s="1"/>
  <c r="M18" i="36"/>
  <c r="M27" i="40" s="1"/>
  <c r="M34" i="37"/>
  <c r="M36" i="37" s="1"/>
  <c r="M33" i="40" s="1"/>
  <c r="O19" i="38"/>
  <c r="O31" i="36"/>
  <c r="O33" i="36" s="1"/>
  <c r="O29" i="40" s="1"/>
  <c r="O18" i="36"/>
  <c r="O27" i="40" s="1"/>
  <c r="O34" i="37"/>
  <c r="O36" i="37" s="1"/>
  <c r="O33" i="40" s="1"/>
  <c r="S19" i="38"/>
  <c r="S31" i="36"/>
  <c r="S33" i="36" s="1"/>
  <c r="S29" i="40" s="1"/>
  <c r="S18" i="36"/>
  <c r="S27" i="40" s="1"/>
  <c r="S34" i="37"/>
  <c r="S36" i="37" s="1"/>
  <c r="S33" i="40" s="1"/>
  <c r="W19" i="38"/>
  <c r="W31" i="36"/>
  <c r="W33" i="36" s="1"/>
  <c r="W29" i="40" s="1"/>
  <c r="W18" i="36"/>
  <c r="W27" i="40" s="1"/>
  <c r="W34" i="37"/>
  <c r="W36" i="37" s="1"/>
  <c r="W33" i="40" s="1"/>
  <c r="AB19" i="38"/>
  <c r="AB31" i="36"/>
  <c r="AB33" i="36" s="1"/>
  <c r="AB29" i="40" s="1"/>
  <c r="AB18" i="36"/>
  <c r="AB27" i="40" s="1"/>
  <c r="AB34" i="37"/>
  <c r="AB36" i="37" s="1"/>
  <c r="AB33" i="40" s="1"/>
  <c r="AF19" i="38"/>
  <c r="AF31" i="36"/>
  <c r="AF33" i="36" s="1"/>
  <c r="AF29" i="40" s="1"/>
  <c r="AF18" i="36"/>
  <c r="AF27" i="40" s="1"/>
  <c r="AF34" i="37"/>
  <c r="AF36" i="37" s="1"/>
  <c r="AF33" i="40" s="1"/>
  <c r="B21" i="80"/>
  <c r="BD47" i="42"/>
  <c r="D26" i="35" s="1"/>
  <c r="K19" i="38"/>
  <c r="K31" i="36"/>
  <c r="K33" i="36" s="1"/>
  <c r="K29" i="40" s="1"/>
  <c r="K18" i="36"/>
  <c r="K27" i="40" s="1"/>
  <c r="K34" i="37"/>
  <c r="K36" i="37" s="1"/>
  <c r="K33" i="40" s="1"/>
  <c r="AJ16" i="36"/>
  <c r="BF10" i="36"/>
  <c r="AN34" i="37"/>
  <c r="AN36" i="37" s="1"/>
  <c r="AN33" i="40" s="1"/>
  <c r="AN18" i="36"/>
  <c r="AN27" i="40" s="1"/>
  <c r="AN19" i="38"/>
  <c r="AN31" i="36"/>
  <c r="AN33" i="36" s="1"/>
  <c r="AN29" i="40" s="1"/>
  <c r="AR34" i="37"/>
  <c r="AR36" i="37" s="1"/>
  <c r="AR33" i="40" s="1"/>
  <c r="AR18" i="36"/>
  <c r="AR27" i="40" s="1"/>
  <c r="AR19" i="38"/>
  <c r="AR31" i="36"/>
  <c r="AR33" i="36" s="1"/>
  <c r="AR29" i="40" s="1"/>
  <c r="AV34" i="37"/>
  <c r="AV36" i="37" s="1"/>
  <c r="AV33" i="40" s="1"/>
  <c r="AV18" i="36"/>
  <c r="AV27" i="40" s="1"/>
  <c r="AV19" i="38"/>
  <c r="AV31" i="36"/>
  <c r="AV33" i="36" s="1"/>
  <c r="AV29" i="40" s="1"/>
  <c r="AZ34" i="37"/>
  <c r="AZ36" i="37" s="1"/>
  <c r="AZ33" i="40" s="1"/>
  <c r="AZ18" i="36"/>
  <c r="AZ27" i="40" s="1"/>
  <c r="AZ19" i="38"/>
  <c r="AZ31" i="36"/>
  <c r="AZ33" i="36" s="1"/>
  <c r="AZ29" i="40" s="1"/>
  <c r="BC34" i="37"/>
  <c r="BC36" i="37" s="1"/>
  <c r="BC33" i="40" s="1"/>
  <c r="BC18" i="36"/>
  <c r="BC27" i="40" s="1"/>
  <c r="BC19" i="38"/>
  <c r="BC31" i="36"/>
  <c r="BC33" i="36" s="1"/>
  <c r="BC29" i="40" s="1"/>
  <c r="H34" i="37"/>
  <c r="H36" i="37" s="1"/>
  <c r="H33" i="40" s="1"/>
  <c r="H18" i="36"/>
  <c r="H27" i="40" s="1"/>
  <c r="H19" i="38"/>
  <c r="H31" i="36"/>
  <c r="H33" i="36" s="1"/>
  <c r="H29" i="40" s="1"/>
  <c r="L34" i="37"/>
  <c r="L36" i="37" s="1"/>
  <c r="L33" i="40" s="1"/>
  <c r="L18" i="36"/>
  <c r="L27" i="40" s="1"/>
  <c r="L19" i="38"/>
  <c r="L31" i="36"/>
  <c r="L33" i="36" s="1"/>
  <c r="L29" i="40" s="1"/>
  <c r="T34" i="37"/>
  <c r="T36" i="37" s="1"/>
  <c r="T33" i="40" s="1"/>
  <c r="T18" i="36"/>
  <c r="T27" i="40" s="1"/>
  <c r="T19" i="38"/>
  <c r="T31" i="36"/>
  <c r="T33" i="36" s="1"/>
  <c r="T29" i="40" s="1"/>
  <c r="AA34" i="37"/>
  <c r="AA36" i="37" s="1"/>
  <c r="AA33" i="40" s="1"/>
  <c r="AA18" i="36"/>
  <c r="AA27" i="40" s="1"/>
  <c r="AA19" i="38"/>
  <c r="AA31" i="36"/>
  <c r="AA33" i="36" s="1"/>
  <c r="AA29" i="40" s="1"/>
  <c r="AI19" i="38"/>
  <c r="AI34" i="37"/>
  <c r="AI36" i="37" s="1"/>
  <c r="AI33" i="40" s="1"/>
  <c r="AI31" i="36"/>
  <c r="AI33" i="36" s="1"/>
  <c r="AI29" i="40" s="1"/>
  <c r="AI18" i="36"/>
  <c r="AI27" i="40" s="1"/>
  <c r="AQ19" i="38"/>
  <c r="AQ31" i="36"/>
  <c r="AQ33" i="36" s="1"/>
  <c r="AQ29" i="40" s="1"/>
  <c r="AQ34" i="37"/>
  <c r="AQ36" i="37" s="1"/>
  <c r="AQ33" i="40" s="1"/>
  <c r="AQ18" i="36"/>
  <c r="AQ27" i="40" s="1"/>
  <c r="AY19" i="38"/>
  <c r="AY31" i="36"/>
  <c r="AY33" i="36" s="1"/>
  <c r="AY29" i="40" s="1"/>
  <c r="D28" i="43" s="1"/>
  <c r="AY34" i="37"/>
  <c r="AY36" i="37" s="1"/>
  <c r="AY33" i="40" s="1"/>
  <c r="D32" i="43" s="1"/>
  <c r="AY18" i="36"/>
  <c r="AY27" i="40" s="1"/>
  <c r="D26" i="43" s="1"/>
  <c r="N34" i="37"/>
  <c r="N36" i="37" s="1"/>
  <c r="N33" i="40" s="1"/>
  <c r="N18" i="36"/>
  <c r="N27" i="40" s="1"/>
  <c r="N19" i="38"/>
  <c r="N31" i="36"/>
  <c r="N33" i="36" s="1"/>
  <c r="N29" i="40" s="1"/>
  <c r="AC34" i="37"/>
  <c r="AC36" i="37" s="1"/>
  <c r="AC33" i="40" s="1"/>
  <c r="AC18" i="36"/>
  <c r="AC27" i="40" s="1"/>
  <c r="AC19" i="38"/>
  <c r="AC31" i="36"/>
  <c r="AC33" i="36" s="1"/>
  <c r="AC29" i="40" s="1"/>
  <c r="AS19" i="38"/>
  <c r="AS31" i="36"/>
  <c r="AS33" i="36" s="1"/>
  <c r="AS29" i="40" s="1"/>
  <c r="AS34" i="37"/>
  <c r="AS36" i="37" s="1"/>
  <c r="AS33" i="40" s="1"/>
  <c r="AS18" i="36"/>
  <c r="AS27" i="40" s="1"/>
  <c r="C10" i="44"/>
  <c r="R34" i="37"/>
  <c r="R36" i="37" s="1"/>
  <c r="R33" i="40" s="1"/>
  <c r="R18" i="36"/>
  <c r="R27" i="40" s="1"/>
  <c r="R19" i="38"/>
  <c r="R31" i="36"/>
  <c r="R33" i="36" s="1"/>
  <c r="R29" i="40" s="1"/>
  <c r="AO19" i="38"/>
  <c r="AO31" i="36"/>
  <c r="AO33" i="36" s="1"/>
  <c r="AO29" i="40" s="1"/>
  <c r="AO34" i="37"/>
  <c r="AO36" i="37" s="1"/>
  <c r="AO33" i="40" s="1"/>
  <c r="AO18" i="36"/>
  <c r="AO27" i="40" s="1"/>
  <c r="AG34" i="37"/>
  <c r="AG36" i="37" s="1"/>
  <c r="AG33" i="40" s="1"/>
  <c r="AG18" i="36"/>
  <c r="AG27" i="40" s="1"/>
  <c r="AG19" i="38"/>
  <c r="AG31" i="36"/>
  <c r="AG33" i="36" s="1"/>
  <c r="AG29" i="40" s="1"/>
  <c r="E11" i="46"/>
  <c r="E10" i="46"/>
  <c r="BE10" i="37"/>
  <c r="BF26" i="38"/>
  <c r="AJ33" i="38"/>
  <c r="X32" i="37"/>
  <c r="BE32" i="37" s="1"/>
  <c r="BE27" i="37"/>
  <c r="BF27" i="37"/>
  <c r="AJ32" i="37"/>
  <c r="BF32" i="37" s="1"/>
  <c r="D39" i="38"/>
  <c r="F34" i="35"/>
  <c r="H34" i="35"/>
  <c r="J34" i="35"/>
  <c r="L34" i="35"/>
  <c r="N34" i="35"/>
  <c r="P34" i="35"/>
  <c r="T34" i="35"/>
  <c r="V34" i="35"/>
  <c r="BE23" i="35"/>
  <c r="X34" i="35"/>
  <c r="Z34" i="35"/>
  <c r="AE34" i="35"/>
  <c r="AI34" i="35"/>
  <c r="AM34" i="35"/>
  <c r="AO34" i="35"/>
  <c r="AS34" i="35"/>
  <c r="AW34" i="35"/>
  <c r="BA34" i="35"/>
  <c r="E156" i="49"/>
  <c r="E67" i="49"/>
  <c r="E102" i="49"/>
  <c r="E91" i="49"/>
  <c r="E79" i="49"/>
  <c r="E85" i="49"/>
  <c r="E170" i="23"/>
  <c r="E124" i="49"/>
  <c r="C67" i="25"/>
  <c r="D42" i="27"/>
  <c r="D46" i="27" s="1"/>
  <c r="C42" i="25"/>
  <c r="E46" i="49"/>
  <c r="E143" i="49"/>
  <c r="E134" i="49"/>
  <c r="E59" i="49"/>
  <c r="E18" i="49"/>
  <c r="E8" i="49"/>
  <c r="E108" i="49"/>
  <c r="AG160" i="23"/>
  <c r="AG161" i="23" s="1"/>
  <c r="E34" i="49"/>
  <c r="D34" i="43"/>
  <c r="BC161" i="29"/>
  <c r="B12" i="80"/>
  <c r="D56" i="79"/>
  <c r="B24" i="80"/>
  <c r="B20" i="80"/>
  <c r="C36" i="25"/>
  <c r="C61" i="25"/>
  <c r="BA160" i="23"/>
  <c r="BA161" i="23" s="1"/>
  <c r="V160" i="23"/>
  <c r="V161" i="23" s="1"/>
  <c r="D66" i="27"/>
  <c r="D70" i="27" s="1"/>
  <c r="C15" i="45"/>
  <c r="C82" i="25"/>
  <c r="D88" i="27"/>
  <c r="D92" i="27" s="1"/>
  <c r="C21" i="45"/>
  <c r="C21" i="73"/>
  <c r="C15" i="73"/>
  <c r="C11" i="73"/>
  <c r="C11" i="74"/>
  <c r="C17" i="74" s="1"/>
  <c r="C23" i="74" s="1"/>
  <c r="P161" i="29"/>
  <c r="T161" i="29"/>
  <c r="AW161" i="29"/>
  <c r="BA161" i="29"/>
  <c r="AY161" i="29"/>
  <c r="C88" i="25"/>
  <c r="AL160" i="23"/>
  <c r="AL161" i="23" s="1"/>
  <c r="C19" i="25"/>
  <c r="C7" i="26"/>
  <c r="D12" i="27"/>
  <c r="C14" i="25"/>
  <c r="C20" i="25"/>
  <c r="E20" i="62"/>
  <c r="E24" i="62" s="1"/>
  <c r="W172" i="23"/>
  <c r="E9" i="48"/>
  <c r="AH160" i="23"/>
  <c r="AH161" i="23" s="1"/>
  <c r="AE161" i="29"/>
  <c r="Y161" i="29"/>
  <c r="AQ161" i="29"/>
  <c r="AP160" i="23"/>
  <c r="AP161" i="23" s="1"/>
  <c r="AV161" i="29"/>
  <c r="N161" i="29"/>
  <c r="T160" i="23"/>
  <c r="T161" i="23" s="1"/>
  <c r="V161" i="29"/>
  <c r="AT160" i="23"/>
  <c r="AT161" i="23" s="1"/>
  <c r="AC161" i="29"/>
  <c r="BF118" i="29"/>
  <c r="AC160" i="23"/>
  <c r="AC161" i="23" s="1"/>
  <c r="C55" i="25"/>
  <c r="C57" i="25" s="1"/>
  <c r="BF172" i="23"/>
  <c r="AJ161" i="29"/>
  <c r="E160" i="49"/>
  <c r="H160" i="23"/>
  <c r="H161" i="23" s="1"/>
  <c r="K161" i="29"/>
  <c r="BB161" i="29"/>
  <c r="C76" i="25"/>
  <c r="BG172" i="23"/>
  <c r="L160" i="23"/>
  <c r="L161" i="23" s="1"/>
  <c r="N160" i="23"/>
  <c r="N161" i="23" s="1"/>
  <c r="E173" i="23"/>
  <c r="BD173" i="23"/>
  <c r="BD172" i="23"/>
  <c r="E172" i="23"/>
  <c r="C30" i="25"/>
  <c r="C32" i="25" s="1"/>
  <c r="BE172" i="23"/>
  <c r="E161" i="29"/>
  <c r="AN161" i="29"/>
  <c r="G161" i="29"/>
  <c r="I161" i="29"/>
  <c r="Q161" i="29"/>
  <c r="AB161" i="29"/>
  <c r="AH161" i="29"/>
  <c r="AZ161" i="29"/>
  <c r="F161" i="29"/>
  <c r="J161" i="29"/>
  <c r="X161" i="29"/>
  <c r="AA161" i="29"/>
  <c r="AI161" i="29"/>
  <c r="AM161" i="29"/>
  <c r="AO161" i="29"/>
  <c r="H161" i="29"/>
  <c r="L161" i="29"/>
  <c r="R161" i="29"/>
  <c r="AG161" i="29"/>
  <c r="AK161" i="29"/>
  <c r="AS161" i="29"/>
  <c r="AU161" i="29"/>
  <c r="Z161" i="29"/>
  <c r="Z160" i="23"/>
  <c r="Z161" i="23" s="1"/>
  <c r="C78" i="25"/>
  <c r="BD77" i="29"/>
  <c r="AT179" i="29"/>
  <c r="BC160" i="23"/>
  <c r="BC161" i="23" s="1"/>
  <c r="AZ160" i="23"/>
  <c r="AZ161" i="23" s="1"/>
  <c r="AV160" i="23"/>
  <c r="AV161" i="23" s="1"/>
  <c r="AR160" i="23"/>
  <c r="AR161" i="23" s="1"/>
  <c r="AN160" i="23"/>
  <c r="AN161" i="23" s="1"/>
  <c r="AJ160" i="23"/>
  <c r="AJ161" i="23" s="1"/>
  <c r="AD160" i="23"/>
  <c r="AD161" i="23" s="1"/>
  <c r="AE160" i="23"/>
  <c r="AE161" i="23" s="1"/>
  <c r="X160" i="23"/>
  <c r="X161" i="23" s="1"/>
  <c r="P160" i="23"/>
  <c r="P161" i="23" s="1"/>
  <c r="J160" i="23"/>
  <c r="J161" i="23" s="1"/>
  <c r="F160" i="23"/>
  <c r="F161" i="23" s="1"/>
  <c r="BF122" i="29"/>
  <c r="AH179" i="29"/>
  <c r="BG122" i="29"/>
  <c r="BG100" i="29"/>
  <c r="AX179" i="29"/>
  <c r="H5" i="29"/>
  <c r="AA5" i="29"/>
  <c r="AI5" i="29"/>
  <c r="AS179" i="29"/>
  <c r="BF28" i="29"/>
  <c r="AB179" i="29"/>
  <c r="AJ179" i="29"/>
  <c r="AR179" i="29"/>
  <c r="AV76" i="29"/>
  <c r="X179" i="29"/>
  <c r="BE44" i="29"/>
  <c r="BE32" i="29"/>
  <c r="BD118" i="29"/>
  <c r="BE100" i="29"/>
  <c r="BE57" i="29"/>
  <c r="BD40" i="29"/>
  <c r="L5" i="29"/>
  <c r="BF141" i="29"/>
  <c r="AE5" i="29"/>
  <c r="AM179" i="29"/>
  <c r="AO76" i="29"/>
  <c r="BB76" i="29"/>
  <c r="V76" i="29"/>
  <c r="AC179" i="29"/>
  <c r="AG179" i="29"/>
  <c r="AQ76" i="29"/>
  <c r="C13" i="25"/>
  <c r="BE122" i="29"/>
  <c r="BE106" i="29"/>
  <c r="BD89" i="29"/>
  <c r="BD57" i="29"/>
  <c r="G76" i="29"/>
  <c r="BD44" i="29"/>
  <c r="BD65" i="29"/>
  <c r="K76" i="29"/>
  <c r="K179" i="29"/>
  <c r="O76" i="29"/>
  <c r="Q5" i="29"/>
  <c r="S76" i="29"/>
  <c r="S5" i="29"/>
  <c r="U5" i="29"/>
  <c r="Y76" i="29"/>
  <c r="BF44" i="29"/>
  <c r="AD76" i="29"/>
  <c r="AF76" i="29"/>
  <c r="AJ76" i="29"/>
  <c r="BG141" i="29"/>
  <c r="BG118" i="29"/>
  <c r="BG32" i="29"/>
  <c r="BG16" i="29"/>
  <c r="AJ5" i="29"/>
  <c r="AL76" i="29"/>
  <c r="AP5" i="29"/>
  <c r="AR5" i="29"/>
  <c r="AX76" i="29"/>
  <c r="AZ5" i="29"/>
  <c r="F76" i="29"/>
  <c r="H76" i="29"/>
  <c r="J76" i="29"/>
  <c r="L76" i="29"/>
  <c r="N76" i="29"/>
  <c r="V179" i="29"/>
  <c r="V5" i="29"/>
  <c r="BF154" i="29"/>
  <c r="E58" i="79" s="1"/>
  <c r="BF57" i="29"/>
  <c r="X76" i="29"/>
  <c r="BF6" i="29"/>
  <c r="Z5" i="29"/>
  <c r="AA76" i="29"/>
  <c r="AC5" i="29"/>
  <c r="AE76" i="29"/>
  <c r="AG5" i="29"/>
  <c r="AI76" i="29"/>
  <c r="AM76" i="29"/>
  <c r="AM5" i="29"/>
  <c r="AW76" i="29"/>
  <c r="BA76" i="29"/>
  <c r="BB5" i="29"/>
  <c r="BE65" i="29"/>
  <c r="BD106" i="29"/>
  <c r="BE28" i="29"/>
  <c r="I179" i="29"/>
  <c r="K5" i="29"/>
  <c r="M76" i="29"/>
  <c r="Q76" i="29"/>
  <c r="U76" i="29"/>
  <c r="BF65" i="29"/>
  <c r="AD5" i="29"/>
  <c r="AF179" i="29"/>
  <c r="BG106" i="29"/>
  <c r="BG57" i="29"/>
  <c r="AT76" i="29"/>
  <c r="AV5" i="29"/>
  <c r="AX5" i="29"/>
  <c r="AZ76" i="29"/>
  <c r="BC179" i="29"/>
  <c r="H179" i="29"/>
  <c r="N179" i="29"/>
  <c r="AI179" i="29"/>
  <c r="AK76" i="29"/>
  <c r="AS5" i="29"/>
  <c r="AY179" i="29"/>
  <c r="BA179" i="29"/>
  <c r="BA5" i="29"/>
  <c r="E5" i="23"/>
  <c r="E8" i="48" s="1"/>
  <c r="AF160" i="23"/>
  <c r="AF161" i="23" s="1"/>
  <c r="AB160" i="23"/>
  <c r="AB161" i="23" s="1"/>
  <c r="U160" i="23"/>
  <c r="U161" i="23" s="1"/>
  <c r="D10" i="27"/>
  <c r="D11" i="27"/>
  <c r="BE132" i="29"/>
  <c r="BD154" i="29"/>
  <c r="E56" i="79" s="1"/>
  <c r="BD100" i="29"/>
  <c r="E76" i="29"/>
  <c r="BE141" i="29"/>
  <c r="BD132" i="29"/>
  <c r="BE89" i="29"/>
  <c r="BD83" i="29"/>
  <c r="BE77" i="29"/>
  <c r="BD122" i="29"/>
  <c r="BD32" i="29"/>
  <c r="BD16" i="29"/>
  <c r="G5" i="29"/>
  <c r="BE118" i="29"/>
  <c r="G179" i="29"/>
  <c r="BD28" i="29"/>
  <c r="I5" i="29"/>
  <c r="M5" i="29"/>
  <c r="O179" i="29"/>
  <c r="S179" i="29"/>
  <c r="W76" i="29"/>
  <c r="W5" i="29"/>
  <c r="W179" i="29"/>
  <c r="BF83" i="29"/>
  <c r="BF32" i="29"/>
  <c r="BF16" i="29"/>
  <c r="Y5" i="29"/>
  <c r="AB76" i="29"/>
  <c r="AD179" i="29"/>
  <c r="AH76" i="29"/>
  <c r="AH5" i="29"/>
  <c r="BG154" i="29"/>
  <c r="BG89" i="29"/>
  <c r="BG83" i="29"/>
  <c r="BG77" i="29"/>
  <c r="BG44" i="29"/>
  <c r="BG6" i="29"/>
  <c r="AL179" i="29"/>
  <c r="AN76" i="29"/>
  <c r="AN5" i="29"/>
  <c r="AP76" i="29"/>
  <c r="BC76" i="29"/>
  <c r="BC5" i="29"/>
  <c r="F5" i="29"/>
  <c r="J5" i="29"/>
  <c r="N5" i="29"/>
  <c r="P76" i="29"/>
  <c r="P5" i="29"/>
  <c r="R179" i="29"/>
  <c r="R5" i="29"/>
  <c r="T76" i="29"/>
  <c r="T5" i="29"/>
  <c r="BF100" i="29"/>
  <c r="BF77" i="29"/>
  <c r="X5" i="29"/>
  <c r="AC76" i="29"/>
  <c r="AG76" i="29"/>
  <c r="AK179" i="29"/>
  <c r="AO179" i="29"/>
  <c r="AQ5" i="29"/>
  <c r="AU76" i="29"/>
  <c r="AU5" i="29"/>
  <c r="AY76" i="29"/>
  <c r="AY5" i="29"/>
  <c r="BE154" i="29"/>
  <c r="BD141" i="29"/>
  <c r="BE83" i="29"/>
  <c r="E179" i="29"/>
  <c r="BE16" i="29"/>
  <c r="BE40" i="29"/>
  <c r="I76" i="29"/>
  <c r="M179" i="29"/>
  <c r="O5" i="29"/>
  <c r="Q179" i="29"/>
  <c r="U179" i="29"/>
  <c r="BF132" i="29"/>
  <c r="BF106" i="29"/>
  <c r="Y179" i="29"/>
  <c r="AB5" i="29"/>
  <c r="AF5" i="29"/>
  <c r="BG132" i="29"/>
  <c r="BG65" i="29"/>
  <c r="AL5" i="29"/>
  <c r="AN179" i="29"/>
  <c r="AR76" i="29"/>
  <c r="AT5" i="29"/>
  <c r="AV179" i="29"/>
  <c r="AZ179" i="29"/>
  <c r="F179" i="29"/>
  <c r="J179" i="29"/>
  <c r="L179" i="29"/>
  <c r="P179" i="29"/>
  <c r="R76" i="29"/>
  <c r="T179" i="29"/>
  <c r="BF89" i="29"/>
  <c r="Z76" i="29"/>
  <c r="AA179" i="29"/>
  <c r="AE179" i="29"/>
  <c r="AK5" i="29"/>
  <c r="AO5" i="29"/>
  <c r="AQ179" i="29"/>
  <c r="AS76" i="29"/>
  <c r="AW179" i="29"/>
  <c r="AW5" i="29"/>
  <c r="C10" i="25"/>
  <c r="BG5" i="23"/>
  <c r="BG160" i="23" s="1"/>
  <c r="BG161" i="23" s="1"/>
  <c r="BE5" i="23"/>
  <c r="BE160" i="23" s="1"/>
  <c r="BE161" i="23" s="1"/>
  <c r="BD170" i="23"/>
  <c r="BD76" i="23"/>
  <c r="BD37" i="42" s="1"/>
  <c r="D10" i="36" s="1"/>
  <c r="M160" i="23"/>
  <c r="M161" i="23" s="1"/>
  <c r="BD5" i="23"/>
  <c r="C9" i="25"/>
  <c r="E76" i="23"/>
  <c r="E57" i="79" l="1"/>
  <c r="BE161" i="29"/>
  <c r="E59" i="79"/>
  <c r="BG161" i="29"/>
  <c r="BD161" i="29"/>
  <c r="BG179" i="29"/>
  <c r="BB21" i="38"/>
  <c r="BB37" i="40" s="1"/>
  <c r="BB22" i="40"/>
  <c r="AQ22" i="40"/>
  <c r="R17" i="38"/>
  <c r="K17" i="38"/>
  <c r="AA17" i="38"/>
  <c r="AK21" i="38"/>
  <c r="AK37" i="40" s="1"/>
  <c r="I21" i="38"/>
  <c r="I37" i="40" s="1"/>
  <c r="D10" i="39"/>
  <c r="D12" i="39" s="1"/>
  <c r="D41" i="40" s="1"/>
  <c r="AU17" i="38"/>
  <c r="AU21" i="38" s="1"/>
  <c r="AU37" i="40" s="1"/>
  <c r="AG17" i="38"/>
  <c r="AA22" i="40"/>
  <c r="E20" i="46"/>
  <c r="E24" i="46" s="1"/>
  <c r="D16" i="36"/>
  <c r="D34" i="37" s="1"/>
  <c r="AU22" i="40"/>
  <c r="M21" i="38"/>
  <c r="M37" i="40" s="1"/>
  <c r="AW17" i="38"/>
  <c r="AW21" i="38" s="1"/>
  <c r="AW37" i="40" s="1"/>
  <c r="AW22" i="40"/>
  <c r="AO41" i="35"/>
  <c r="AO24" i="40" s="1"/>
  <c r="AO17" i="38"/>
  <c r="AO21" i="38" s="1"/>
  <c r="AO37" i="40" s="1"/>
  <c r="AO22" i="40"/>
  <c r="AI41" i="35"/>
  <c r="AI24" i="40" s="1"/>
  <c r="AI17" i="38"/>
  <c r="AI21" i="38" s="1"/>
  <c r="AI37" i="40" s="1"/>
  <c r="AI22" i="40"/>
  <c r="Z41" i="35"/>
  <c r="Z24" i="40" s="1"/>
  <c r="Z17" i="38"/>
  <c r="Z21" i="38" s="1"/>
  <c r="Z37" i="40" s="1"/>
  <c r="Z22" i="40"/>
  <c r="T22" i="40"/>
  <c r="T17" i="38"/>
  <c r="T21" i="38" s="1"/>
  <c r="T37" i="40" s="1"/>
  <c r="T41" i="35"/>
  <c r="T24" i="40" s="1"/>
  <c r="N22" i="40"/>
  <c r="N17" i="38"/>
  <c r="N21" i="38" s="1"/>
  <c r="N37" i="40" s="1"/>
  <c r="N41" i="35"/>
  <c r="N24" i="40" s="1"/>
  <c r="J17" i="38"/>
  <c r="J21" i="38" s="1"/>
  <c r="J37" i="40" s="1"/>
  <c r="J22" i="40"/>
  <c r="J41" i="35"/>
  <c r="J24" i="40" s="1"/>
  <c r="F22" i="40"/>
  <c r="F17" i="38"/>
  <c r="F21" i="38" s="1"/>
  <c r="F37" i="40" s="1"/>
  <c r="F41" i="35"/>
  <c r="F24" i="40" s="1"/>
  <c r="BF33" i="38"/>
  <c r="BF41" i="38" s="1"/>
  <c r="AJ41" i="38"/>
  <c r="AJ39" i="40" s="1"/>
  <c r="BF39" i="40" s="1"/>
  <c r="AJ19" i="38"/>
  <c r="AJ31" i="36"/>
  <c r="BF16" i="36"/>
  <c r="BF18" i="36" s="1"/>
  <c r="AJ34" i="37"/>
  <c r="AJ18" i="36"/>
  <c r="AJ27" i="40" s="1"/>
  <c r="BF27" i="40" s="1"/>
  <c r="D26" i="38"/>
  <c r="D33" i="38" s="1"/>
  <c r="D41" i="38" s="1"/>
  <c r="D39" i="40" s="1"/>
  <c r="D10" i="37"/>
  <c r="BE7" i="37"/>
  <c r="X17" i="37"/>
  <c r="BF7" i="37"/>
  <c r="AJ17" i="37"/>
  <c r="AQ21" i="38"/>
  <c r="AQ37" i="40" s="1"/>
  <c r="AC21" i="38"/>
  <c r="AC37" i="40" s="1"/>
  <c r="Y22" i="40"/>
  <c r="Y41" i="35"/>
  <c r="Y24" i="40" s="1"/>
  <c r="Y17" i="38"/>
  <c r="Y21" i="38" s="1"/>
  <c r="Y37" i="40" s="1"/>
  <c r="U22" i="40"/>
  <c r="U17" i="38"/>
  <c r="U21" i="38" s="1"/>
  <c r="U37" i="40" s="1"/>
  <c r="U41" i="35"/>
  <c r="U24" i="40" s="1"/>
  <c r="Q22" i="40"/>
  <c r="Q17" i="38"/>
  <c r="Q21" i="38" s="1"/>
  <c r="Q37" i="40" s="1"/>
  <c r="Q41" i="35"/>
  <c r="Q24" i="40" s="1"/>
  <c r="BC22" i="40"/>
  <c r="BC41" i="35"/>
  <c r="BC24" i="40" s="1"/>
  <c r="BC17" i="38"/>
  <c r="BC21" i="38" s="1"/>
  <c r="BC37" i="40" s="1"/>
  <c r="AZ41" i="35"/>
  <c r="AZ24" i="40" s="1"/>
  <c r="AZ22" i="40"/>
  <c r="AZ17" i="38"/>
  <c r="AZ21" i="38" s="1"/>
  <c r="AZ37" i="40" s="1"/>
  <c r="AV22" i="40"/>
  <c r="AV41" i="35"/>
  <c r="AV24" i="40" s="1"/>
  <c r="AV17" i="38"/>
  <c r="AV21" i="38" s="1"/>
  <c r="AV37" i="40" s="1"/>
  <c r="AR22" i="40"/>
  <c r="AR41" i="35"/>
  <c r="AR24" i="40" s="1"/>
  <c r="AR17" i="38"/>
  <c r="AR21" i="38" s="1"/>
  <c r="AR37" i="40" s="1"/>
  <c r="AN22" i="40"/>
  <c r="AN41" i="35"/>
  <c r="AN24" i="40" s="1"/>
  <c r="AN17" i="38"/>
  <c r="AN21" i="38" s="1"/>
  <c r="AN37" i="40" s="1"/>
  <c r="AH22" i="40"/>
  <c r="AH41" i="35"/>
  <c r="AH24" i="40" s="1"/>
  <c r="AH17" i="38"/>
  <c r="AH21" i="38" s="1"/>
  <c r="AH37" i="40" s="1"/>
  <c r="AD41" i="35"/>
  <c r="AD24" i="40" s="1"/>
  <c r="AD22" i="40"/>
  <c r="AD17" i="38"/>
  <c r="AD21" i="38" s="1"/>
  <c r="AD37" i="40" s="1"/>
  <c r="O21" i="38"/>
  <c r="O37" i="40" s="1"/>
  <c r="D27" i="37"/>
  <c r="D32" i="37" s="1"/>
  <c r="D24" i="35"/>
  <c r="D34" i="35" s="1"/>
  <c r="AA46" i="35" s="1"/>
  <c r="D17" i="37"/>
  <c r="D19" i="37" s="1"/>
  <c r="D31" i="40" s="1"/>
  <c r="BD27" i="37"/>
  <c r="E32" i="37"/>
  <c r="BD32" i="37" s="1"/>
  <c r="E17" i="37"/>
  <c r="E79" i="48"/>
  <c r="E37" i="42"/>
  <c r="E10" i="36" s="1"/>
  <c r="BA17" i="38"/>
  <c r="BA21" i="38" s="1"/>
  <c r="BA37" i="40" s="1"/>
  <c r="BA41" i="35"/>
  <c r="BA24" i="40" s="1"/>
  <c r="BA22" i="40"/>
  <c r="AS17" i="38"/>
  <c r="AS21" i="38" s="1"/>
  <c r="AS37" i="40" s="1"/>
  <c r="AS41" i="35"/>
  <c r="AS24" i="40" s="1"/>
  <c r="AS22" i="40"/>
  <c r="AM17" i="38"/>
  <c r="AM21" i="38" s="1"/>
  <c r="AM37" i="40" s="1"/>
  <c r="AM41" i="35"/>
  <c r="AM24" i="40" s="1"/>
  <c r="AM22" i="40"/>
  <c r="AE41" i="35"/>
  <c r="AE24" i="40" s="1"/>
  <c r="AE17" i="38"/>
  <c r="AE21" i="38" s="1"/>
  <c r="AE37" i="40" s="1"/>
  <c r="AE22" i="40"/>
  <c r="BE34" i="35"/>
  <c r="BE41" i="35" s="1"/>
  <c r="X17" i="38"/>
  <c r="X41" i="35"/>
  <c r="X24" i="40" s="1"/>
  <c r="X22" i="40"/>
  <c r="V22" i="40"/>
  <c r="V41" i="35"/>
  <c r="V24" i="40" s="1"/>
  <c r="V17" i="38"/>
  <c r="V21" i="38" s="1"/>
  <c r="V37" i="40" s="1"/>
  <c r="P22" i="40"/>
  <c r="P17" i="38"/>
  <c r="P21" i="38" s="1"/>
  <c r="P37" i="40" s="1"/>
  <c r="P41" i="35"/>
  <c r="P24" i="40" s="1"/>
  <c r="L22" i="40"/>
  <c r="L17" i="38"/>
  <c r="L21" i="38" s="1"/>
  <c r="L37" i="40" s="1"/>
  <c r="L41" i="35"/>
  <c r="L24" i="40" s="1"/>
  <c r="H17" i="38"/>
  <c r="H21" i="38" s="1"/>
  <c r="H37" i="40" s="1"/>
  <c r="H22" i="40"/>
  <c r="H41" i="35"/>
  <c r="H24" i="40" s="1"/>
  <c r="E33" i="38"/>
  <c r="BD26" i="38"/>
  <c r="AY21" i="38"/>
  <c r="AY37" i="40" s="1"/>
  <c r="D36" i="43" s="1"/>
  <c r="AG21" i="38"/>
  <c r="AG37" i="40" s="1"/>
  <c r="AA21" i="38"/>
  <c r="AA37" i="40" s="1"/>
  <c r="W41" i="35"/>
  <c r="W24" i="40" s="1"/>
  <c r="W22" i="40"/>
  <c r="W17" i="38"/>
  <c r="W21" i="38" s="1"/>
  <c r="W37" i="40" s="1"/>
  <c r="S22" i="40"/>
  <c r="S17" i="38"/>
  <c r="S21" i="38" s="1"/>
  <c r="S37" i="40" s="1"/>
  <c r="S41" i="35"/>
  <c r="S24" i="40" s="1"/>
  <c r="G22" i="40"/>
  <c r="G17" i="38"/>
  <c r="G21" i="38" s="1"/>
  <c r="G37" i="40" s="1"/>
  <c r="G41" i="35"/>
  <c r="G24" i="40" s="1"/>
  <c r="AX41" i="35"/>
  <c r="AX24" i="40" s="1"/>
  <c r="AX22" i="40"/>
  <c r="AX17" i="38"/>
  <c r="AX21" i="38" s="1"/>
  <c r="AX37" i="40" s="1"/>
  <c r="AT41" i="35"/>
  <c r="AT24" i="40" s="1"/>
  <c r="AT22" i="40"/>
  <c r="AT17" i="38"/>
  <c r="AT21" i="38" s="1"/>
  <c r="AT37" i="40" s="1"/>
  <c r="AP41" i="35"/>
  <c r="AP24" i="40" s="1"/>
  <c r="AP22" i="40"/>
  <c r="AP17" i="38"/>
  <c r="AP21" i="38" s="1"/>
  <c r="AP37" i="40" s="1"/>
  <c r="AL41" i="35"/>
  <c r="AL24" i="40" s="1"/>
  <c r="AL22" i="40"/>
  <c r="AL17" i="38"/>
  <c r="AL21" i="38" s="1"/>
  <c r="AL37" i="40" s="1"/>
  <c r="AF22" i="40"/>
  <c r="AF41" i="35"/>
  <c r="AF24" i="40" s="1"/>
  <c r="AF17" i="38"/>
  <c r="AF21" i="38" s="1"/>
  <c r="AF37" i="40" s="1"/>
  <c r="AB41" i="35"/>
  <c r="AB24" i="40" s="1"/>
  <c r="AB22" i="40"/>
  <c r="AB17" i="38"/>
  <c r="AB21" i="38" s="1"/>
  <c r="AB37" i="40" s="1"/>
  <c r="R21" i="38"/>
  <c r="R37" i="40" s="1"/>
  <c r="BE33" i="38"/>
  <c r="BE41" i="38" s="1"/>
  <c r="X41" i="38"/>
  <c r="X39" i="40" s="1"/>
  <c r="BE39" i="40" s="1"/>
  <c r="AJ22" i="40"/>
  <c r="AJ17" i="38"/>
  <c r="AJ41" i="35"/>
  <c r="AJ24" i="40" s="1"/>
  <c r="BF34" i="35"/>
  <c r="BF41" i="35" s="1"/>
  <c r="K21" i="38"/>
  <c r="K37" i="40" s="1"/>
  <c r="BE16" i="36"/>
  <c r="BE18" i="36" s="1"/>
  <c r="X34" i="37"/>
  <c r="X18" i="36"/>
  <c r="X27" i="40" s="1"/>
  <c r="BE27" i="40" s="1"/>
  <c r="X19" i="38"/>
  <c r="X31" i="36"/>
  <c r="E34" i="35"/>
  <c r="BD23" i="35"/>
  <c r="BD7" i="37"/>
  <c r="C63" i="25"/>
  <c r="C69" i="25" s="1"/>
  <c r="E78" i="49"/>
  <c r="C38" i="25"/>
  <c r="C44" i="25" s="1"/>
  <c r="C84" i="25"/>
  <c r="C90" i="25" s="1"/>
  <c r="C21" i="25"/>
  <c r="C21" i="59"/>
  <c r="C15" i="59"/>
  <c r="C17" i="73"/>
  <c r="C23" i="73" s="1"/>
  <c r="C15" i="25"/>
  <c r="C11" i="45"/>
  <c r="C17" i="45" s="1"/>
  <c r="C23" i="45" s="1"/>
  <c r="C11" i="60"/>
  <c r="C17" i="60" s="1"/>
  <c r="C23" i="60" s="1"/>
  <c r="C11" i="59"/>
  <c r="D20" i="61"/>
  <c r="D24" i="61" s="1"/>
  <c r="BD160" i="23"/>
  <c r="BD161" i="23" s="1"/>
  <c r="D20" i="27"/>
  <c r="D24" i="27" s="1"/>
  <c r="C11" i="25"/>
  <c r="BD76" i="29"/>
  <c r="BF179" i="29"/>
  <c r="BD179" i="29"/>
  <c r="BF5" i="29"/>
  <c r="E160" i="23"/>
  <c r="E161" i="23" s="1"/>
  <c r="BF76" i="29"/>
  <c r="BG5" i="29"/>
  <c r="BG76" i="29"/>
  <c r="BE76" i="29"/>
  <c r="BE179" i="29"/>
  <c r="BE22" i="40" l="1"/>
  <c r="D18" i="36"/>
  <c r="D27" i="40" s="1"/>
  <c r="D31" i="36"/>
  <c r="D33" i="36" s="1"/>
  <c r="D29" i="40" s="1"/>
  <c r="D19" i="38"/>
  <c r="BF24" i="40"/>
  <c r="BF22" i="40"/>
  <c r="BE24" i="40"/>
  <c r="E17" i="38"/>
  <c r="BD17" i="38" s="1"/>
  <c r="E41" i="35"/>
  <c r="E24" i="40" s="1"/>
  <c r="BD24" i="40" s="1"/>
  <c r="E22" i="40"/>
  <c r="BD22" i="40" s="1"/>
  <c r="BD34" i="35"/>
  <c r="BD41" i="35" s="1"/>
  <c r="BE19" i="38"/>
  <c r="X21" i="38"/>
  <c r="X37" i="40" s="1"/>
  <c r="BE37" i="40" s="1"/>
  <c r="X36" i="37"/>
  <c r="X33" i="40" s="1"/>
  <c r="BE33" i="40" s="1"/>
  <c r="BE34" i="37"/>
  <c r="BE36" i="37" s="1"/>
  <c r="BD33" i="38"/>
  <c r="BD41" i="38" s="1"/>
  <c r="E41" i="38"/>
  <c r="E39" i="40" s="1"/>
  <c r="BD39" i="40" s="1"/>
  <c r="AJ19" i="37"/>
  <c r="AJ31" i="40" s="1"/>
  <c r="BF31" i="40" s="1"/>
  <c r="BF17" i="37"/>
  <c r="BF19" i="37" s="1"/>
  <c r="BE17" i="37"/>
  <c r="BE19" i="37" s="1"/>
  <c r="X19" i="37"/>
  <c r="X31" i="40" s="1"/>
  <c r="BE31" i="40" s="1"/>
  <c r="BF19" i="38"/>
  <c r="AJ21" i="38"/>
  <c r="AJ37" i="40" s="1"/>
  <c r="BF37" i="40" s="1"/>
  <c r="BE31" i="36"/>
  <c r="BE33" i="36" s="1"/>
  <c r="X33" i="36"/>
  <c r="X29" i="40" s="1"/>
  <c r="BE29" i="40" s="1"/>
  <c r="BF17" i="38"/>
  <c r="BE17" i="38"/>
  <c r="BD10" i="36"/>
  <c r="E16" i="36"/>
  <c r="E19" i="37"/>
  <c r="E31" i="40" s="1"/>
  <c r="BD31" i="40" s="1"/>
  <c r="BD17" i="37"/>
  <c r="BD19" i="37" s="1"/>
  <c r="D17" i="38"/>
  <c r="D22" i="40"/>
  <c r="D41" i="35"/>
  <c r="D24" i="40" s="1"/>
  <c r="BF34" i="37"/>
  <c r="BF36" i="37" s="1"/>
  <c r="AJ36" i="37"/>
  <c r="AJ33" i="40" s="1"/>
  <c r="BF33" i="40" s="1"/>
  <c r="AJ33" i="36"/>
  <c r="AJ29" i="40" s="1"/>
  <c r="BF29" i="40" s="1"/>
  <c r="BF31" i="36"/>
  <c r="BF33" i="36" s="1"/>
  <c r="D36" i="37"/>
  <c r="D33" i="40" s="1"/>
  <c r="C17" i="59"/>
  <c r="C23" i="59" s="1"/>
  <c r="C17" i="25"/>
  <c r="C23" i="25" s="1"/>
  <c r="F19" i="1"/>
  <c r="BE21" i="38" l="1"/>
  <c r="D21" i="38"/>
  <c r="D37" i="40" s="1"/>
  <c r="E19" i="38"/>
  <c r="E31" i="36"/>
  <c r="BD16" i="36"/>
  <c r="BD18" i="36" s="1"/>
  <c r="E34" i="37"/>
  <c r="E18" i="36"/>
  <c r="E27" i="40" s="1"/>
  <c r="BD27" i="40" s="1"/>
  <c r="BF21" i="38"/>
  <c r="C10" i="1"/>
  <c r="I18" i="1"/>
  <c r="L17" i="1"/>
  <c r="L18" i="1" s="1"/>
  <c r="R11" i="1"/>
  <c r="O26" i="1"/>
  <c r="C11" i="1" l="1"/>
  <c r="E21" i="38"/>
  <c r="E37" i="40" s="1"/>
  <c r="BD37" i="40" s="1"/>
  <c r="BD19" i="38"/>
  <c r="BD21" i="38" s="1"/>
  <c r="BD34" i="37"/>
  <c r="BD36" i="37" s="1"/>
  <c r="E36" i="37"/>
  <c r="E33" i="40" s="1"/>
  <c r="BD33" i="40" s="1"/>
  <c r="E33" i="36"/>
  <c r="E29" i="40" s="1"/>
  <c r="BD29" i="40" s="1"/>
  <c r="BD31" i="36"/>
  <c r="BD33" i="36" s="1"/>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3" i="13" l="1"/>
  <c r="H8" i="13"/>
  <c r="H7" i="13"/>
  <c r="H6" i="13"/>
  <c r="H9" i="13" l="1"/>
  <c r="C23" i="1" l="1"/>
  <c r="O8" i="1" l="1"/>
  <c r="S14" i="1" l="1"/>
  <c r="R17" i="1"/>
  <c r="S15" i="1"/>
  <c r="U17" i="1"/>
  <c r="B18" i="1"/>
  <c r="E27" i="1" l="1"/>
  <c r="C22" i="1" l="1"/>
  <c r="E26" i="1" s="1"/>
  <c r="C25" i="1"/>
  <c r="E29" i="1" s="1"/>
  <c r="R12" i="1"/>
  <c r="C26" i="1" l="1"/>
  <c r="E30" i="1" s="1"/>
  <c r="O9" i="1"/>
  <c r="C21" i="1"/>
  <c r="E25" i="1" s="1"/>
  <c r="F26" i="1" s="1"/>
  <c r="C24" i="1"/>
  <c r="E28" i="1" s="1"/>
  <c r="C27" i="1" l="1"/>
  <c r="E6" i="29"/>
  <c r="E5" i="29" s="1"/>
  <c r="E7" i="49" s="1"/>
  <c r="E31" i="1" l="1"/>
  <c r="BD6" i="29"/>
  <c r="BD5" i="29" s="1"/>
  <c r="BE6" i="29"/>
  <c r="BE5" i="29" s="1"/>
</calcChain>
</file>

<file path=xl/sharedStrings.xml><?xml version="1.0" encoding="utf-8"?>
<sst xmlns="http://schemas.openxmlformats.org/spreadsheetml/2006/main" count="5620" uniqueCount="888">
  <si>
    <t>moins de 200 habitants</t>
  </si>
  <si>
    <t>201 à 500 habitants</t>
  </si>
  <si>
    <t>501 à 1'000 habitants</t>
  </si>
  <si>
    <t>1'001 à 2'000 habitants</t>
  </si>
  <si>
    <t>2001 à 3'000 habitant</t>
  </si>
  <si>
    <t>plus de 3'000 habitant</t>
  </si>
  <si>
    <t>Saint-Brais</t>
  </si>
  <si>
    <t>Muriaux</t>
  </si>
  <si>
    <t>Cornol</t>
  </si>
  <si>
    <t>Courgenay</t>
  </si>
  <si>
    <t>Courroux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</si>
  <si>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</si>
  <si>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</si>
  <si>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</si>
  <si>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</si>
  <si>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</si>
  <si>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</si>
  <si>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</si>
  <si>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</si>
  <si>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</si>
  <si>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</si>
  <si>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</si>
  <si>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</si>
  <si>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</si>
  <si>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</si>
  <si>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</si>
  <si>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</si>
  <si>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</si>
  <si>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</si>
  <si>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</si>
  <si>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</si>
  <si>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</si>
  <si>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</si>
  <si>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</si>
  <si>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</si>
  <si>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</si>
  <si>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</si>
  <si>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</si>
  <si>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</si>
  <si>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</si>
  <si>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</si>
  <si>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</si>
  <si>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</si>
  <si>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</si>
  <si>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</si>
  <si>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</si>
  <si>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</si>
  <si>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</si>
  <si>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</si>
  <si>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</si>
  <si>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</si>
  <si>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</si>
  <si>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</si>
  <si>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</si>
  <si>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</si>
  <si>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</si>
  <si>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</si>
  <si>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</si>
  <si>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</si>
  <si>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</si>
  <si>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</si>
  <si>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</si>
  <si>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</si>
  <si>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</si>
  <si>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</si>
  <si>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</si>
  <si>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</si>
  <si>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</si>
  <si>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</si>
  <si>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</si>
  <si>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</si>
  <si>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</si>
  <si>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</si>
  <si>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</si>
  <si>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</si>
  <si>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</si>
  <si>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</si>
  <si>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</si>
  <si>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</si>
  <si>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</si>
  <si>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</si>
  <si>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</si>
  <si>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</si>
  <si>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</si>
  <si>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</si>
  <si>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</si>
  <si>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</si>
  <si>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</si>
  <si>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</si>
  <si>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</si>
  <si>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</si>
  <si>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</si>
  <si>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</si>
  <si>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</si>
  <si>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</si>
  <si>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</si>
  <si>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</si>
  <si>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</si>
  <si>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</si>
  <si>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</si>
  <si>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</si>
  <si>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</si>
  <si>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</si>
  <si>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</si>
  <si>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</si>
  <si>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</si>
  <si>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</si>
  <si>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</si>
  <si>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</si>
  <si>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</si>
  <si>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</si>
  <si>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</si>
  <si>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</si>
  <si>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</si>
  <si>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</si>
  <si>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</si>
  <si>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</si>
  <si>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</si>
  <si>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</si>
  <si>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</si>
  <si>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</si>
  <si>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</si>
  <si>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</si>
  <si>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</si>
  <si>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</si>
  <si>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</si>
  <si>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</si>
  <si>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</si>
  <si>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</si>
  <si>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</si>
  <si>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</si>
  <si>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</si>
  <si>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</si>
  <si>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</si>
  <si>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</si>
  <si>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</si>
  <si>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</si>
  <si>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</si>
  <si>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</si>
  <si>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</si>
  <si>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</si>
  <si>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</si>
  <si>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</si>
  <si>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</si>
  <si>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</si>
  <si>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</si>
  <si>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</si>
  <si>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</si>
  <si>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</si>
  <si>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</si>
  <si>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</si>
  <si>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</si>
  <si>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</si>
  <si>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</si>
  <si>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</si>
  <si>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</si>
  <si>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</si>
  <si>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</si>
  <si>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</si>
  <si>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</si>
  <si>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</si>
  <si>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</si>
  <si>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</si>
  <si>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</si>
  <si>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</si>
  <si>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</si>
  <si>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</si>
  <si>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</si>
  <si>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</si>
  <si>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</si>
  <si>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</si>
  <si>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</si>
  <si>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</si>
  <si>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</si>
  <si>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</si>
  <si>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</si>
  <si>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</si>
  <si>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</si>
  <si>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</si>
  <si>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</si>
  <si>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</si>
  <si>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</si>
  <si>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</si>
  <si>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</si>
  <si>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</si>
  <si>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</si>
  <si>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</si>
  <si>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</si>
  <si>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</si>
  <si>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</si>
  <si>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</si>
  <si>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</si>
  <si>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</si>
  <si>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</si>
  <si>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</si>
  <si>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</si>
  <si>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</si>
  <si>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</si>
  <si>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</si>
  <si>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</si>
  <si>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</si>
  <si>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</si>
  <si>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</si>
  <si>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</si>
  <si>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</si>
  <si>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</si>
  <si>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</si>
  <si>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</si>
  <si>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</si>
  <si>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</si>
  <si>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</si>
  <si>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</si>
  <si>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</si>
  <si>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</si>
  <si>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</si>
  <si>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</si>
  <si>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</si>
  <si>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</si>
  <si>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</si>
  <si>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</si>
  <si>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</si>
  <si>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</si>
  <si>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</si>
  <si>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</si>
  <si>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</si>
  <si>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</si>
  <si>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</si>
  <si>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</si>
  <si>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</si>
  <si>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</si>
  <si>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</si>
  <si>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</si>
  <si>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</si>
  <si>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</si>
  <si>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</si>
  <si>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</si>
  <si>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</si>
  <si>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</si>
  <si>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</si>
  <si>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</si>
  <si>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</si>
  <si>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</si>
  <si>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</si>
  <si>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</si>
  <si>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</si>
  <si>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</si>
  <si>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</si>
  <si>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</si>
  <si>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</si>
  <si>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</si>
  <si>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</si>
  <si>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</si>
  <si>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</si>
  <si>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</si>
  <si>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</si>
  <si>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</si>
  <si>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</si>
  <si>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</si>
  <si>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</si>
  <si>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</si>
  <si>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</si>
  <si>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</si>
  <si>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</si>
  <si>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</si>
  <si>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</si>
  <si>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</si>
  <si>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</si>
  <si>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</si>
  <si>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</si>
  <si>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</si>
  <si>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</si>
  <si>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</si>
  <si>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</si>
  <si>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</si>
  <si>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</si>
  <si>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</si>
  <si>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</si>
  <si>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</si>
  <si>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</si>
  <si>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</si>
  <si>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</si>
  <si>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</si>
  <si>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</si>
  <si>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</si>
  <si>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</si>
  <si>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</si>
  <si>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</si>
  <si>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</si>
  <si>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</si>
  <si>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</si>
  <si>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</si>
  <si>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</si>
  <si>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</si>
  <si>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</si>
  <si>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</si>
  <si>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</si>
  <si>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</si>
  <si>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</si>
  <si>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</si>
  <si>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</si>
  <si>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</si>
  <si>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</si>
  <si>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</si>
  <si>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</si>
  <si>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</si>
  <si>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</si>
  <si>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</si>
  <si>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</si>
  <si>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</si>
  <si>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</si>
  <si>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</si>
  <si>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</si>
  <si>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</si>
  <si>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</si>
  <si>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</si>
  <si>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</si>
  <si>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</si>
  <si>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</si>
  <si>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</si>
  <si>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</si>
  <si>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</si>
  <si>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</si>
  <si>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</si>
  <si>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</si>
  <si>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</si>
  <si>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</si>
  <si>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</si>
  <si>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</si>
  <si>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</si>
  <si>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</si>
  <si>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</si>
  <si>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</si>
  <si>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</si>
  <si>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</si>
  <si>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</si>
  <si>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</si>
  <si>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</si>
  <si>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</si>
  <si>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</si>
  <si>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</si>
  <si>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</si>
  <si>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</si>
  <si>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</si>
  <si>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</si>
  <si>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</si>
  <si>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</si>
  <si>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</si>
  <si>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</si>
  <si>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</si>
  <si>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</si>
  <si>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</si>
  <si>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</si>
  <si>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</si>
  <si>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</si>
  <si>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</si>
  <si>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</si>
  <si>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</si>
  <si>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</si>
  <si>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</si>
  <si>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</si>
  <si>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</si>
  <si>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</si>
  <si>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</si>
  <si>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</si>
  <si>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</si>
  <si>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</si>
  <si>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</si>
  <si>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</si>
  <si>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</si>
  <si>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</si>
  <si>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</si>
  <si>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</si>
  <si>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</si>
  <si>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</si>
  <si>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</si>
  <si>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</si>
  <si>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</si>
  <si>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</si>
  <si>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</si>
  <si>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</si>
  <si>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</si>
  <si>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</si>
  <si>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</si>
  <si>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</si>
  <si>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</si>
  <si>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</si>
  <si>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</si>
  <si>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</si>
  <si>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</si>
  <si>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</si>
  <si>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</si>
  <si>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</si>
  <si>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</si>
  <si>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</si>
  <si>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</si>
  <si>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</si>
  <si>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</si>
  <si>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</si>
  <si>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</si>
  <si>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</si>
  <si>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</si>
  <si>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</si>
  <si>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</si>
  <si>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</si>
  <si>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</si>
  <si>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</si>
  <si>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</si>
  <si>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</si>
  <si>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</si>
  <si>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</si>
  <si>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</si>
  <si>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</si>
  <si>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</si>
  <si>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</si>
  <si>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</si>
  <si>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</si>
  <si>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</si>
  <si>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</si>
  <si>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</si>
  <si>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</si>
  <si>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</si>
  <si>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</si>
  <si>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</si>
  <si>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</si>
  <si>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</si>
  <si>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</si>
  <si>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</si>
  <si>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</si>
  <si>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</si>
  <si>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</si>
  <si>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</si>
  <si>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</si>
  <si>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</si>
  <si>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</si>
  <si>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</si>
  <si>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</si>
  <si>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</si>
  <si>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</si>
  <si>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</si>
  <si>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</si>
  <si>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</si>
  <si>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</si>
  <si>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</si>
  <si>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</si>
  <si>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</si>
  <si>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</si>
  <si>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</si>
  <si>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</si>
  <si>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</si>
  <si>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</si>
  <si>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</si>
  <si>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</si>
  <si>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</si>
  <si>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</si>
  <si>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</si>
  <si>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</si>
  <si>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</si>
  <si>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</si>
  <si>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</si>
  <si>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</si>
  <si>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</si>
  <si>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</si>
  <si>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</si>
  <si>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</si>
  <si>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</si>
  <si>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</si>
  <si>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</si>
  <si>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</si>
  <si>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</si>
  <si>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</si>
  <si>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</si>
  <si>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</si>
  <si>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</si>
  <si>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</si>
  <si>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</si>
  <si>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</si>
  <si>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</si>
  <si>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</si>
  <si>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</si>
  <si>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</si>
  <si>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</si>
  <si>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</si>
  <si>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</si>
  <si>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</si>
  <si>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</si>
  <si>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</si>
  <si>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</si>
  <si>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</si>
  <si>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</si>
  <si>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</si>
  <si>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</si>
  <si>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</si>
  <si>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</si>
  <si>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</si>
  <si>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</si>
  <si>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</si>
  <si>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</si>
  <si>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</si>
  <si>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</si>
  <si>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</si>
  <si>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</si>
  <si>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</si>
  <si>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</si>
  <si>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</si>
  <si>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</si>
  <si>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</si>
  <si>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</si>
  <si>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Dépenses reportées au bilan</t>
  </si>
  <si>
    <t>Recettes reportées au bilan</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</si>
  <si>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</si>
  <si>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</si>
  <si>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</si>
  <si>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</si>
  <si>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</si>
  <si>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</si>
  <si>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</si>
  <si>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</si>
  <si>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</si>
  <si>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</si>
  <si>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</si>
  <si>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</si>
  <si>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</si>
  <si>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</si>
  <si>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</si>
  <si>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</si>
  <si>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</si>
  <si>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</si>
  <si>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</si>
  <si>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</si>
  <si>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</si>
  <si>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</si>
  <si>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</si>
  <si>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</si>
  <si>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</si>
  <si>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</si>
  <si>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</si>
  <si>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</si>
  <si>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</si>
  <si>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</si>
  <si>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</si>
  <si>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</si>
  <si>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</si>
  <si>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</si>
  <si>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</si>
  <si>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</si>
  <si>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</si>
  <si>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</si>
  <si>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</si>
  <si>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</si>
  <si>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</si>
  <si>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</si>
  <si>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</si>
  <si>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</si>
  <si>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</si>
  <si>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</si>
  <si>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</si>
  <si>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</si>
  <si>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</si>
  <si>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</si>
  <si>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</si>
  <si>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</si>
  <si>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</si>
  <si>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</si>
  <si>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</si>
  <si>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</si>
  <si>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</si>
  <si>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</si>
  <si>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</si>
  <si>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</si>
  <si>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</si>
  <si>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</si>
  <si>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</si>
  <si>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</si>
  <si>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</si>
  <si>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</si>
  <si>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</si>
  <si>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</si>
  <si>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</si>
  <si>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</si>
  <si>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</si>
  <si>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</si>
  <si>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</si>
  <si>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</si>
  <si>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</si>
  <si>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</si>
  <si>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</si>
  <si>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</si>
  <si>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</si>
  <si>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</si>
  <si>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</si>
  <si>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</si>
  <si>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</si>
  <si>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</si>
  <si>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</si>
  <si>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</si>
  <si>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</si>
  <si>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</si>
  <si>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</si>
  <si>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</si>
  <si>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</si>
  <si>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</si>
  <si>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</si>
  <si>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</si>
  <si>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</si>
  <si>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</si>
  <si>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</si>
  <si>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</si>
  <si>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</si>
  <si>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</si>
  <si>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</si>
  <si>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</si>
  <si>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</si>
  <si>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</si>
  <si>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</si>
  <si>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</si>
  <si>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</si>
  <si>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</si>
  <si>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</si>
  <si>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</si>
  <si>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</si>
  <si>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</si>
  <si>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</si>
  <si>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</si>
  <si>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</si>
  <si>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</si>
  <si>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</si>
  <si>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</si>
  <si>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</si>
  <si>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</si>
  <si>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</si>
  <si>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</si>
  <si>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</si>
  <si>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</si>
  <si>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</si>
  <si>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</si>
  <si>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</si>
  <si>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</si>
  <si>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</si>
  <si>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</si>
  <si>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</si>
  <si>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</si>
  <si>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</si>
  <si>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</si>
  <si>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</si>
  <si>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</si>
  <si>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</si>
  <si>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</si>
  <si>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</si>
  <si>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</si>
  <si>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</si>
  <si>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</si>
  <si>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</si>
  <si>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</si>
  <si>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</si>
  <si>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</si>
  <si>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</si>
  <si>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</si>
  <si>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</si>
  <si>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</si>
  <si>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</si>
  <si>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</si>
  <si>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</si>
  <si>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</si>
  <si>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</si>
  <si>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</si>
  <si>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</si>
  <si>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</si>
  <si>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</si>
  <si>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</si>
  <si>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</si>
  <si>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</si>
  <si>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</si>
  <si>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</si>
  <si>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</si>
  <si>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</si>
  <si>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</si>
  <si>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</si>
  <si>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</si>
  <si>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</si>
  <si>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</si>
  <si>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</si>
  <si>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</si>
  <si>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</si>
  <si>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</si>
  <si>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</si>
  <si>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</si>
  <si>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</si>
  <si>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</si>
  <si>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</si>
  <si>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</si>
  <si>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</si>
  <si>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</si>
  <si>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</si>
  <si>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</si>
  <si>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</si>
  <si>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</si>
  <si>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</si>
  <si>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</si>
  <si>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</si>
  <si>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</si>
  <si>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</si>
  <si>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</si>
  <si>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</si>
  <si>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</si>
  <si>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</si>
  <si>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</si>
  <si>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</si>
  <si>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</si>
  <si>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</si>
  <si>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</si>
  <si>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</si>
  <si>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</si>
  <si>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</si>
  <si>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</si>
  <si>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</si>
  <si>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</si>
  <si>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</si>
  <si>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</si>
  <si>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</si>
  <si>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</si>
  <si>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</si>
  <si>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</si>
  <si>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</si>
  <si>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</si>
  <si>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</si>
  <si>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</si>
  <si>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</si>
  <si>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</si>
  <si>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</si>
  <si>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</si>
  <si>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</si>
  <si>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</si>
  <si>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</si>
  <si>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</si>
  <si>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</si>
  <si>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</si>
  <si>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</si>
  <si>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</si>
  <si>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</si>
  <si>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</si>
  <si>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</si>
  <si>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</si>
  <si>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</si>
  <si>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</si>
  <si>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</si>
  <si>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</si>
  <si>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</si>
  <si>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</si>
  <si>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</si>
  <si>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</si>
  <si>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</si>
  <si>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</si>
  <si>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</si>
  <si>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</si>
  <si>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</si>
  <si>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</si>
  <si>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</si>
  <si>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</si>
  <si>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</si>
  <si>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</si>
  <si>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</si>
  <si>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</si>
  <si>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</si>
  <si>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</si>
  <si>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</si>
  <si>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</si>
  <si>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</si>
  <si>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</si>
  <si>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</si>
  <si>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</si>
  <si>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</si>
  <si>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</si>
  <si>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</si>
  <si>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</si>
  <si>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</si>
  <si>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</si>
  <si>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</si>
  <si>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</si>
  <si>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</si>
  <si>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</si>
  <si>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</si>
  <si>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</si>
  <si>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</si>
  <si>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</si>
  <si>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</si>
  <si>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</si>
  <si>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</si>
  <si>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</si>
  <si>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</si>
  <si>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</si>
  <si>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</si>
  <si>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</si>
  <si>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</si>
  <si>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</si>
  <si>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</si>
  <si>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</si>
  <si>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</si>
  <si>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</si>
  <si>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</si>
  <si>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</si>
  <si>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</si>
  <si>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</si>
  <si>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</si>
  <si>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</si>
  <si>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</si>
  <si>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</si>
  <si>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</si>
  <si>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</si>
  <si>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</si>
  <si>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</si>
  <si>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</si>
  <si>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</si>
  <si>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Bilan 2022</t>
  </si>
  <si>
    <t>Exercice 2022</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</si>
  <si>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</si>
  <si>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</si>
  <si>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</si>
  <si>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</si>
  <si>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</si>
  <si>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</si>
  <si>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</si>
  <si>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</si>
  <si>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</si>
  <si>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</si>
  <si>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</si>
  <si>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</si>
  <si>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</si>
  <si>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</si>
  <si>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</si>
  <si>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</si>
  <si>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</si>
  <si>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</si>
  <si>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</si>
  <si>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</si>
  <si>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</si>
  <si>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</si>
  <si>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</si>
  <si>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</si>
  <si>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</si>
  <si>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</si>
  <si>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</si>
  <si>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</si>
  <si>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</si>
  <si>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</si>
  <si>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</si>
  <si>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</si>
  <si>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</si>
  <si>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</si>
  <si>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</si>
  <si>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</si>
  <si>
    <t>Damphreux-Lugnez</t>
  </si>
  <si>
    <t>Comptes de résultats par natures 2023</t>
  </si>
  <si>
    <t>Comptes de résultats par natures 2023 en Fr. par habitant</t>
  </si>
  <si>
    <t>Vue d'ensemble 2023</t>
  </si>
  <si>
    <t>comptes 2023</t>
  </si>
  <si>
    <t>Vue d'ensemble 2023 par commune</t>
  </si>
  <si>
    <t>Comptes de résultats par natures à trois niveaux 2023</t>
  </si>
  <si>
    <t>Comptes 2023 à trois niveaux</t>
  </si>
  <si>
    <t>Autofinancement 2023</t>
  </si>
  <si>
    <t>Résultat du financement 2023 (autofinancement) par commune</t>
  </si>
  <si>
    <t>Comptes de résultats par fonction 2023</t>
  </si>
  <si>
    <t>Comptes de résultats par fonction 2023 par commune</t>
  </si>
  <si>
    <t>Comptes de résultats par fonctions 2023</t>
  </si>
  <si>
    <t>Bilan 2023</t>
  </si>
  <si>
    <t>Bilan 2023 par commune</t>
  </si>
  <si>
    <t>Tableau de l'endettement 2023</t>
  </si>
  <si>
    <t>Tableau de l'endettement 2023 par commune</t>
  </si>
  <si>
    <t>Comptes des investissements 2023</t>
  </si>
  <si>
    <t>Comptes des investissements 2023 par commune</t>
  </si>
  <si>
    <t>Exercice 2023</t>
  </si>
  <si>
    <t>6 Trafic - Transports - Télécommunications</t>
  </si>
  <si>
    <t>Fonds du capital propre</t>
  </si>
  <si>
    <t>Vue d'ensemble 2023 par Bourgeoisie</t>
  </si>
  <si>
    <t>Bilan 2023 par Bourgeoisie</t>
  </si>
  <si>
    <t>Tableau de l'endettement 2023 par Bourgeoisie</t>
  </si>
  <si>
    <t>Vue d'ensemble 2023 par syndicat</t>
  </si>
  <si>
    <t>Bilan 2023 par syndicat</t>
  </si>
  <si>
    <t>Tableau de l'endettement 2023 par syndicat</t>
  </si>
  <si>
    <t>Rapport sur les finances communales - exercice 2023</t>
  </si>
  <si>
    <t>Annexe aux comptes annuels H - Les indicateurs financiers 2023</t>
  </si>
  <si>
    <t>Fortune 299</t>
  </si>
  <si>
    <t>Financements spéciaux 2900</t>
  </si>
  <si>
    <t>Fortune</t>
  </si>
  <si>
    <t>Financements spéciaux</t>
  </si>
  <si>
    <t>Comptes des investissements 2023 par Bourgeoisie</t>
  </si>
  <si>
    <t>Dette brute par rapports aux revenus</t>
  </si>
  <si>
    <t>5 communes de moins 200 habitants</t>
  </si>
  <si>
    <t>12 communes de 501 à 1'000 habitants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</si>
</sst>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6">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15" fillId="0" borderId="0" xfId="0" applyNumberFormat="1" applyFont="1"/>
    <xf numFmtId="0" fontId="13" fillId="17" borderId="0" xfId="0" applyFont="1" applyFill="1"/>
    <xf numFmtId="0" fontId="13" fillId="18" borderId="0" xfId="0"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164" fontId="6" fillId="13" borderId="0" xfId="0" applyNumberFormat="1" applyFont="1" applyFill="1"/>
    <xf numFmtId="164" fontId="6" fillId="8" borderId="0" xfId="0" applyNumberFormat="1" applyFont="1" applyFill="1"/>
    <xf numFmtId="164" fontId="6" fillId="16" borderId="0" xfId="0" applyNumberFormat="1" applyFont="1" applyFill="1"/>
    <xf numFmtId="164" fontId="6" fillId="17" borderId="0" xfId="0" applyNumberFormat="1" applyFont="1" applyFill="1"/>
    <xf numFmtId="164" fontId="6" fillId="18"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Population!$B$21:$B$26</c:f>
              <c:strCache>
                <c:ptCount val="6"/>
                <c:pt idx="0">
                  <c:v>5 communes de moins 200 habitants</c:v>
                </c:pt>
                <c:pt idx="1">
                  <c:v>13 communes de 200 à 500 habitants</c:v>
                </c:pt>
                <c:pt idx="2">
                  <c:v>12 communes de 501 à 1'000 habitants</c:v>
                </c:pt>
                <c:pt idx="3">
                  <c:v>12 communes de 1'001 à 2'000 habitants</c:v>
                </c:pt>
                <c:pt idx="4">
                  <c:v>3 communes de 2'001 à 3'000 habitants</c:v>
                </c:pt>
                <c:pt idx="5">
                  <c:v>6 communes de plus 3'000 habitants</c:v>
                </c:pt>
              </c:strCache>
            </c:strRef>
          </c:cat>
          <c:val>
            <c:numRef>
              <c:f>Population!$C$21:$C$26</c:f>
              <c:numCache>
                <c:formatCode>#,##0</c:formatCode>
                <c:ptCount val="6"/>
                <c:pt idx="0">
                  <c:v>615</c:v>
                </c:pt>
                <c:pt idx="1">
                  <c:v>4607</c:v>
                </c:pt>
                <c:pt idx="2">
                  <c:v>7851</c:v>
                </c:pt>
                <c:pt idx="3">
                  <c:v>16696</c:v>
                </c:pt>
                <c:pt idx="4">
                  <c:v>7745</c:v>
                </c:pt>
                <c:pt idx="5">
                  <c:v>37034</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25</xdr:col>
      <xdr:colOff>742950</xdr:colOff>
      <xdr:row>24</xdr:row>
      <xdr:rowOff>171450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26</xdr:col>
      <xdr:colOff>0</xdr:colOff>
      <xdr:row>49</xdr:row>
      <xdr:rowOff>57150</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53</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55</xdr:row>
      <xdr:rowOff>4761</xdr:rowOff>
    </xdr:from>
    <xdr:to>
      <xdr:col>15</xdr:col>
      <xdr:colOff>752475</xdr:colOff>
      <xdr:row>77</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27" t="s">
        <v>878</v>
      </c>
    </row>
    <row r="4" spans="1:3" ht="20.25" x14ac:dyDescent="0.3">
      <c r="B4" s="28" t="s">
        <v>592</v>
      </c>
      <c r="C4" s="29"/>
    </row>
    <row r="5" spans="1:3" x14ac:dyDescent="0.2">
      <c r="C5" s="29"/>
    </row>
    <row r="6" spans="1:3" ht="15" x14ac:dyDescent="0.25">
      <c r="A6" s="30">
        <v>1</v>
      </c>
      <c r="B6" s="7" t="s">
        <v>582</v>
      </c>
      <c r="C6" s="31"/>
    </row>
    <row r="7" spans="1:3" x14ac:dyDescent="0.2">
      <c r="A7" s="29">
        <v>1.1000000000000001</v>
      </c>
      <c r="B7" s="8" t="s">
        <v>582</v>
      </c>
      <c r="C7" s="32" t="s">
        <v>582</v>
      </c>
    </row>
    <row r="8" spans="1:3" x14ac:dyDescent="0.2">
      <c r="A8" s="29"/>
      <c r="C8" s="33"/>
    </row>
    <row r="9" spans="1:3" ht="15" x14ac:dyDescent="0.25">
      <c r="A9" s="30">
        <v>2</v>
      </c>
      <c r="B9" s="7" t="s">
        <v>586</v>
      </c>
      <c r="C9" s="33"/>
    </row>
    <row r="10" spans="1:3" x14ac:dyDescent="0.2">
      <c r="A10" s="29">
        <v>2.1</v>
      </c>
      <c r="B10" s="8" t="s">
        <v>593</v>
      </c>
      <c r="C10" s="34" t="s">
        <v>607</v>
      </c>
    </row>
    <row r="11" spans="1:3" x14ac:dyDescent="0.2">
      <c r="A11" s="29">
        <v>2.2000000000000002</v>
      </c>
      <c r="B11" s="8" t="s">
        <v>594</v>
      </c>
      <c r="C11" s="35" t="s">
        <v>608</v>
      </c>
    </row>
    <row r="12" spans="1:3" x14ac:dyDescent="0.2">
      <c r="A12" s="29">
        <v>2.2999999999999998</v>
      </c>
      <c r="B12" s="8" t="s">
        <v>625</v>
      </c>
      <c r="C12" s="35" t="s">
        <v>627</v>
      </c>
    </row>
    <row r="13" spans="1:3" x14ac:dyDescent="0.2">
      <c r="A13" s="29">
        <v>2.4</v>
      </c>
      <c r="B13" s="8" t="s">
        <v>583</v>
      </c>
      <c r="C13" s="35" t="s">
        <v>583</v>
      </c>
    </row>
    <row r="14" spans="1:3" x14ac:dyDescent="0.2">
      <c r="A14" s="29">
        <v>2.5</v>
      </c>
      <c r="B14" s="8" t="s">
        <v>584</v>
      </c>
      <c r="C14" s="35" t="s">
        <v>584</v>
      </c>
    </row>
    <row r="15" spans="1:3" x14ac:dyDescent="0.2">
      <c r="A15" s="29">
        <v>2.6</v>
      </c>
      <c r="B15" s="8" t="s">
        <v>609</v>
      </c>
      <c r="C15" s="35" t="s">
        <v>609</v>
      </c>
    </row>
    <row r="16" spans="1:3" x14ac:dyDescent="0.2">
      <c r="A16" s="29">
        <v>2.7</v>
      </c>
      <c r="B16" s="8" t="s">
        <v>610</v>
      </c>
      <c r="C16" s="35" t="s">
        <v>611</v>
      </c>
    </row>
    <row r="17" spans="1:3" x14ac:dyDescent="0.2">
      <c r="A17" s="29">
        <v>2.8</v>
      </c>
      <c r="B17" s="8" t="s">
        <v>537</v>
      </c>
      <c r="C17" s="35" t="s">
        <v>537</v>
      </c>
    </row>
    <row r="18" spans="1:3" x14ac:dyDescent="0.2">
      <c r="A18" s="29">
        <v>2.9</v>
      </c>
      <c r="B18" s="8" t="s">
        <v>585</v>
      </c>
      <c r="C18" s="35" t="s">
        <v>585</v>
      </c>
    </row>
    <row r="19" spans="1:3" x14ac:dyDescent="0.2">
      <c r="A19" s="36">
        <v>2.1</v>
      </c>
      <c r="B19" s="8" t="s">
        <v>587</v>
      </c>
      <c r="C19" s="35" t="s">
        <v>587</v>
      </c>
    </row>
    <row r="20" spans="1:3" x14ac:dyDescent="0.2">
      <c r="A20" s="36">
        <v>2.11</v>
      </c>
      <c r="B20" s="8" t="s">
        <v>588</v>
      </c>
      <c r="C20" s="35" t="s">
        <v>612</v>
      </c>
    </row>
    <row r="21" spans="1:3" x14ac:dyDescent="0.2">
      <c r="A21" s="29"/>
      <c r="C21" s="33"/>
    </row>
    <row r="22" spans="1:3" ht="15" x14ac:dyDescent="0.25">
      <c r="A22" s="30">
        <v>3</v>
      </c>
      <c r="B22" s="7" t="s">
        <v>589</v>
      </c>
      <c r="C22" s="33"/>
    </row>
    <row r="23" spans="1:3" x14ac:dyDescent="0.2">
      <c r="A23" s="29">
        <v>3.2</v>
      </c>
      <c r="B23" s="8" t="s">
        <v>597</v>
      </c>
      <c r="C23" s="37" t="s">
        <v>597</v>
      </c>
    </row>
    <row r="24" spans="1:3" x14ac:dyDescent="0.2">
      <c r="A24" s="29">
        <v>3.3</v>
      </c>
      <c r="B24" s="8" t="s">
        <v>596</v>
      </c>
      <c r="C24" s="37" t="s">
        <v>596</v>
      </c>
    </row>
    <row r="25" spans="1:3" x14ac:dyDescent="0.2">
      <c r="A25" s="29">
        <v>3.4</v>
      </c>
      <c r="B25" s="8" t="s">
        <v>717</v>
      </c>
      <c r="C25" s="37" t="s">
        <v>717</v>
      </c>
    </row>
    <row r="26" spans="1:3" x14ac:dyDescent="0.2">
      <c r="A26" s="29">
        <v>3.5</v>
      </c>
      <c r="B26" s="8" t="s">
        <v>590</v>
      </c>
      <c r="C26" s="37" t="s">
        <v>613</v>
      </c>
    </row>
    <row r="27" spans="1:3" x14ac:dyDescent="0.2">
      <c r="A27" s="29">
        <v>3.6</v>
      </c>
      <c r="B27" s="8" t="s">
        <v>591</v>
      </c>
      <c r="C27" s="37" t="s">
        <v>716</v>
      </c>
    </row>
    <row r="28" spans="1:3" x14ac:dyDescent="0.2">
      <c r="A28" s="29"/>
      <c r="C28" s="33"/>
    </row>
    <row r="29" spans="1:3" ht="15" x14ac:dyDescent="0.25">
      <c r="A29" s="30">
        <v>4</v>
      </c>
      <c r="B29" s="7" t="s">
        <v>599</v>
      </c>
      <c r="C29" s="33"/>
    </row>
    <row r="30" spans="1:3" x14ac:dyDescent="0.2">
      <c r="A30" s="29">
        <v>4.0999999999999996</v>
      </c>
      <c r="B30" s="8" t="s">
        <v>598</v>
      </c>
      <c r="C30" s="38" t="s">
        <v>595</v>
      </c>
    </row>
    <row r="31" spans="1:3" x14ac:dyDescent="0.2">
      <c r="A31" s="29">
        <v>4.2</v>
      </c>
      <c r="B31" s="8" t="s">
        <v>626</v>
      </c>
      <c r="C31" s="38" t="s">
        <v>626</v>
      </c>
    </row>
    <row r="32" spans="1:3" x14ac:dyDescent="0.2">
      <c r="A32" s="29"/>
      <c r="C32" s="33"/>
    </row>
    <row r="33" spans="1:3" ht="15" x14ac:dyDescent="0.25">
      <c r="A33" s="30">
        <v>5</v>
      </c>
      <c r="B33" s="7" t="s">
        <v>271</v>
      </c>
      <c r="C33" s="33"/>
    </row>
    <row r="34" spans="1:3" x14ac:dyDescent="0.2">
      <c r="A34" s="29">
        <v>5.0999999999999996</v>
      </c>
      <c r="B34" s="8" t="s">
        <v>718</v>
      </c>
      <c r="C34" s="39" t="s">
        <v>718</v>
      </c>
    </row>
    <row r="35" spans="1:3" x14ac:dyDescent="0.2">
      <c r="A35" s="29">
        <v>5.2</v>
      </c>
      <c r="B35" s="8" t="s">
        <v>606</v>
      </c>
      <c r="C35" s="40" t="s">
        <v>558</v>
      </c>
    </row>
    <row r="36" spans="1:3" x14ac:dyDescent="0.2">
      <c r="A36" s="29">
        <v>5.3</v>
      </c>
      <c r="B36" s="8" t="s">
        <v>602</v>
      </c>
      <c r="C36" s="39" t="s">
        <v>614</v>
      </c>
    </row>
    <row r="37" spans="1:3" x14ac:dyDescent="0.2">
      <c r="A37" s="29">
        <v>5.4</v>
      </c>
      <c r="B37" s="8" t="s">
        <v>603</v>
      </c>
      <c r="C37" s="39" t="s">
        <v>615</v>
      </c>
    </row>
    <row r="38" spans="1:3" x14ac:dyDescent="0.2">
      <c r="A38" s="29">
        <v>5.5</v>
      </c>
      <c r="B38" s="8" t="s">
        <v>604</v>
      </c>
      <c r="C38" s="39" t="s">
        <v>616</v>
      </c>
    </row>
    <row r="39" spans="1:3" x14ac:dyDescent="0.2">
      <c r="A39" s="29">
        <v>5.6</v>
      </c>
      <c r="B39" s="8" t="s">
        <v>605</v>
      </c>
      <c r="C39" s="40" t="s">
        <v>617</v>
      </c>
    </row>
    <row r="40" spans="1:3" x14ac:dyDescent="0.2">
      <c r="A40" s="29">
        <v>5.7</v>
      </c>
      <c r="B40" s="8" t="s">
        <v>600</v>
      </c>
      <c r="C40" s="39" t="s">
        <v>618</v>
      </c>
    </row>
    <row r="41" spans="1:3" x14ac:dyDescent="0.2">
      <c r="A41" s="29">
        <v>5.8</v>
      </c>
      <c r="B41" s="8" t="s">
        <v>601</v>
      </c>
      <c r="C41" s="39" t="s">
        <v>601</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3" zoomScaleNormal="100" workbookViewId="0">
      <selection activeCell="A3" sqref="A3"/>
    </sheetView>
  </sheetViews>
  <sheetFormatPr baseColWidth="10" defaultRowHeight="12.75" x14ac:dyDescent="0.2"/>
  <cols>
    <col min="1" max="1" width="3.42578125" style="42" customWidth="1"/>
    <col min="2" max="2" width="14" style="42" customWidth="1"/>
    <col min="3" max="12" width="11.42578125" style="42"/>
    <col min="13" max="13" width="3.42578125" style="42" customWidth="1"/>
    <col min="14" max="14" width="14" style="42" customWidth="1"/>
    <col min="15" max="16384" width="11.42578125" style="42"/>
  </cols>
  <sheetData>
    <row r="1" spans="1:15" ht="13.5" thickBot="1" x14ac:dyDescent="0.25">
      <c r="A1" s="41" t="s">
        <v>69</v>
      </c>
      <c r="B1" s="41" t="s">
        <v>66</v>
      </c>
      <c r="C1" s="41">
        <v>2023</v>
      </c>
      <c r="D1" s="41"/>
      <c r="E1" s="41"/>
      <c r="F1" s="41"/>
      <c r="G1" s="41"/>
      <c r="H1" s="41"/>
      <c r="I1" s="41"/>
      <c r="M1" s="41" t="s">
        <v>69</v>
      </c>
      <c r="N1" s="41" t="s">
        <v>66</v>
      </c>
      <c r="O1" s="41">
        <v>2023</v>
      </c>
    </row>
    <row r="2" spans="1:15" ht="13.5" thickBot="1" x14ac:dyDescent="0.25">
      <c r="A2" s="43">
        <v>1</v>
      </c>
      <c r="B2" s="44" t="s">
        <v>55</v>
      </c>
      <c r="C2" s="45">
        <v>961</v>
      </c>
      <c r="D2" s="46"/>
      <c r="G2" s="216" t="s">
        <v>719</v>
      </c>
      <c r="H2" s="217"/>
      <c r="I2" s="217"/>
      <c r="J2" s="217"/>
      <c r="K2" s="218"/>
      <c r="M2" s="47">
        <v>1</v>
      </c>
      <c r="N2" s="48" t="s">
        <v>51</v>
      </c>
      <c r="O2" s="49">
        <f>C33</f>
        <v>1907</v>
      </c>
    </row>
    <row r="3" spans="1:15" x14ac:dyDescent="0.2">
      <c r="A3" s="43">
        <v>2</v>
      </c>
      <c r="B3" s="44" t="s">
        <v>17</v>
      </c>
      <c r="C3" s="45">
        <v>261</v>
      </c>
      <c r="D3" s="46"/>
      <c r="M3" s="47">
        <v>2</v>
      </c>
      <c r="N3" s="48" t="s">
        <v>31</v>
      </c>
      <c r="O3" s="49">
        <f>C35</f>
        <v>1203</v>
      </c>
    </row>
    <row r="4" spans="1:15" x14ac:dyDescent="0.2">
      <c r="A4" s="43">
        <v>3</v>
      </c>
      <c r="B4" s="44" t="s">
        <v>56</v>
      </c>
      <c r="C4" s="45">
        <v>494</v>
      </c>
      <c r="D4" s="46"/>
      <c r="M4" s="47">
        <v>3</v>
      </c>
      <c r="N4" s="48" t="s">
        <v>28</v>
      </c>
      <c r="O4" s="49">
        <f>C36</f>
        <v>112</v>
      </c>
    </row>
    <row r="5" spans="1:15" x14ac:dyDescent="0.2">
      <c r="A5" s="43">
        <v>4</v>
      </c>
      <c r="B5" s="44" t="s">
        <v>52</v>
      </c>
      <c r="C5" s="45">
        <v>445</v>
      </c>
      <c r="D5" s="46"/>
      <c r="F5" s="50" t="s">
        <v>71</v>
      </c>
      <c r="M5" s="47">
        <v>4</v>
      </c>
      <c r="N5" s="44" t="s">
        <v>55</v>
      </c>
      <c r="O5" s="45">
        <f>C2</f>
        <v>961</v>
      </c>
    </row>
    <row r="6" spans="1:15" x14ac:dyDescent="0.2">
      <c r="A6" s="43">
        <v>5</v>
      </c>
      <c r="B6" s="44" t="s">
        <v>32</v>
      </c>
      <c r="C6" s="45">
        <v>3667</v>
      </c>
      <c r="D6" s="46"/>
      <c r="F6" s="51" t="s">
        <v>27</v>
      </c>
      <c r="G6" s="51"/>
      <c r="H6" s="52">
        <f>SUM(C2:C20)</f>
        <v>39660</v>
      </c>
      <c r="M6" s="47">
        <v>5</v>
      </c>
      <c r="N6" s="48" t="s">
        <v>25</v>
      </c>
      <c r="O6" s="49">
        <f>C37</f>
        <v>1171</v>
      </c>
    </row>
    <row r="7" spans="1:15" x14ac:dyDescent="0.2">
      <c r="A7" s="43">
        <v>6</v>
      </c>
      <c r="B7" s="44" t="s">
        <v>10</v>
      </c>
      <c r="C7" s="45">
        <v>3396</v>
      </c>
      <c r="D7" s="46"/>
      <c r="F7" s="53" t="s">
        <v>63</v>
      </c>
      <c r="G7" s="53"/>
      <c r="H7" s="54">
        <f>SUM(C21:C32)</f>
        <v>10531</v>
      </c>
      <c r="M7" s="47">
        <v>6</v>
      </c>
      <c r="N7" s="48" t="s">
        <v>47</v>
      </c>
      <c r="O7" s="49">
        <f>C38</f>
        <v>655</v>
      </c>
    </row>
    <row r="8" spans="1:15" x14ac:dyDescent="0.2">
      <c r="A8" s="43">
        <v>7</v>
      </c>
      <c r="B8" s="44" t="s">
        <v>14</v>
      </c>
      <c r="C8" s="45">
        <v>2724</v>
      </c>
      <c r="D8" s="46"/>
      <c r="F8" s="55" t="s">
        <v>15</v>
      </c>
      <c r="G8" s="55"/>
      <c r="H8" s="56">
        <f>SUM(C33:C52)</f>
        <v>24357</v>
      </c>
      <c r="M8" s="47">
        <v>7</v>
      </c>
      <c r="N8" s="44" t="s">
        <v>17</v>
      </c>
      <c r="O8" s="45">
        <f>C3</f>
        <v>261</v>
      </c>
    </row>
    <row r="9" spans="1:15" x14ac:dyDescent="0.2">
      <c r="A9" s="43">
        <v>8</v>
      </c>
      <c r="B9" s="44" t="s">
        <v>27</v>
      </c>
      <c r="C9" s="57">
        <v>12739</v>
      </c>
      <c r="D9" s="46"/>
      <c r="H9" s="58">
        <f>SUM(H6:H8)</f>
        <v>74548</v>
      </c>
      <c r="M9" s="47">
        <v>8</v>
      </c>
      <c r="N9" s="48" t="s">
        <v>43</v>
      </c>
      <c r="O9" s="49">
        <f>C39</f>
        <v>631</v>
      </c>
    </row>
    <row r="10" spans="1:15" x14ac:dyDescent="0.2">
      <c r="A10" s="43">
        <v>9</v>
      </c>
      <c r="B10" s="44" t="s">
        <v>41</v>
      </c>
      <c r="C10" s="57">
        <v>1372</v>
      </c>
      <c r="D10" s="46"/>
      <c r="M10" s="47">
        <v>9</v>
      </c>
      <c r="N10" s="44" t="s">
        <v>56</v>
      </c>
      <c r="O10" s="45">
        <f>C4</f>
        <v>494</v>
      </c>
    </row>
    <row r="11" spans="1:15" x14ac:dyDescent="0.2">
      <c r="A11" s="43">
        <v>10</v>
      </c>
      <c r="B11" s="44" t="s">
        <v>22</v>
      </c>
      <c r="C11" s="57">
        <v>117</v>
      </c>
      <c r="D11" s="59"/>
      <c r="M11" s="47">
        <v>10</v>
      </c>
      <c r="N11" s="48" t="s">
        <v>36</v>
      </c>
      <c r="O11" s="49">
        <f>C40</f>
        <v>1294</v>
      </c>
    </row>
    <row r="12" spans="1:15" x14ac:dyDescent="0.2">
      <c r="A12" s="43">
        <v>11</v>
      </c>
      <c r="B12" s="44" t="s">
        <v>21</v>
      </c>
      <c r="C12" s="57">
        <v>7362</v>
      </c>
      <c r="D12" s="59"/>
      <c r="M12" s="47">
        <v>11</v>
      </c>
      <c r="N12" s="48" t="s">
        <v>50</v>
      </c>
      <c r="O12" s="49">
        <f>C41</f>
        <v>721</v>
      </c>
    </row>
    <row r="13" spans="1:15" x14ac:dyDescent="0.2">
      <c r="A13" s="43">
        <v>12</v>
      </c>
      <c r="B13" s="44" t="s">
        <v>12</v>
      </c>
      <c r="C13" s="57">
        <v>535</v>
      </c>
      <c r="D13" s="59"/>
      <c r="M13" s="47">
        <v>12</v>
      </c>
      <c r="N13" s="48" t="s">
        <v>8</v>
      </c>
      <c r="O13" s="49">
        <f>C42</f>
        <v>1060</v>
      </c>
    </row>
    <row r="14" spans="1:15" x14ac:dyDescent="0.2">
      <c r="A14" s="43">
        <v>13</v>
      </c>
      <c r="B14" s="44" t="s">
        <v>16</v>
      </c>
      <c r="C14" s="57">
        <v>112</v>
      </c>
      <c r="D14" s="59"/>
      <c r="M14" s="47">
        <v>13</v>
      </c>
      <c r="N14" s="44" t="s">
        <v>52</v>
      </c>
      <c r="O14" s="45">
        <f>C5</f>
        <v>445</v>
      </c>
    </row>
    <row r="15" spans="1:15" x14ac:dyDescent="0.2">
      <c r="A15" s="43">
        <v>14</v>
      </c>
      <c r="B15" s="44" t="s">
        <v>42</v>
      </c>
      <c r="C15" s="57">
        <v>420</v>
      </c>
      <c r="D15" s="59"/>
      <c r="M15" s="47">
        <v>14</v>
      </c>
      <c r="N15" s="48" t="s">
        <v>23</v>
      </c>
      <c r="O15" s="49">
        <f>C43</f>
        <v>314</v>
      </c>
    </row>
    <row r="16" spans="1:15" x14ac:dyDescent="0.2">
      <c r="A16" s="43">
        <v>15</v>
      </c>
      <c r="B16" s="44" t="s">
        <v>39</v>
      </c>
      <c r="C16" s="57">
        <v>349</v>
      </c>
      <c r="D16" s="59"/>
      <c r="M16" s="47">
        <v>15</v>
      </c>
      <c r="N16" s="48" t="s">
        <v>9</v>
      </c>
      <c r="O16" s="49">
        <f>C44</f>
        <v>2453</v>
      </c>
    </row>
    <row r="17" spans="1:15" x14ac:dyDescent="0.2">
      <c r="A17" s="43">
        <v>16</v>
      </c>
      <c r="B17" s="44" t="s">
        <v>30</v>
      </c>
      <c r="C17" s="57">
        <v>733</v>
      </c>
      <c r="D17" s="59"/>
      <c r="M17" s="47">
        <v>16</v>
      </c>
      <c r="N17" s="44" t="s">
        <v>32</v>
      </c>
      <c r="O17" s="45">
        <f>C6</f>
        <v>3667</v>
      </c>
    </row>
    <row r="18" spans="1:15" x14ac:dyDescent="0.2">
      <c r="A18" s="43">
        <v>17</v>
      </c>
      <c r="B18" s="44" t="s">
        <v>11</v>
      </c>
      <c r="C18" s="57">
        <v>273</v>
      </c>
      <c r="D18" s="59"/>
      <c r="M18" s="47">
        <v>17</v>
      </c>
      <c r="N18" s="44" t="s">
        <v>10</v>
      </c>
      <c r="O18" s="45">
        <f>C7</f>
        <v>3396</v>
      </c>
    </row>
    <row r="19" spans="1:15" x14ac:dyDescent="0.2">
      <c r="A19" s="43">
        <v>18</v>
      </c>
      <c r="B19" s="44" t="s">
        <v>58</v>
      </c>
      <c r="C19" s="57">
        <v>431</v>
      </c>
      <c r="D19" s="59"/>
      <c r="M19" s="47">
        <v>18</v>
      </c>
      <c r="N19" s="48" t="s">
        <v>61</v>
      </c>
      <c r="O19" s="49">
        <f>C45</f>
        <v>774</v>
      </c>
    </row>
    <row r="20" spans="1:15" x14ac:dyDescent="0.2">
      <c r="A20" s="43">
        <v>19</v>
      </c>
      <c r="B20" s="44" t="s">
        <v>26</v>
      </c>
      <c r="C20" s="57">
        <v>3269</v>
      </c>
      <c r="D20" s="59"/>
      <c r="M20" s="47">
        <v>19</v>
      </c>
      <c r="N20" s="44" t="s">
        <v>14</v>
      </c>
      <c r="O20" s="45">
        <f>C8</f>
        <v>2724</v>
      </c>
    </row>
    <row r="21" spans="1:15" x14ac:dyDescent="0.2">
      <c r="A21" s="43">
        <v>20</v>
      </c>
      <c r="B21" s="60" t="s">
        <v>29</v>
      </c>
      <c r="C21" s="61">
        <v>305</v>
      </c>
      <c r="D21" s="59"/>
      <c r="M21" s="47">
        <v>20</v>
      </c>
      <c r="N21" s="48" t="s">
        <v>850</v>
      </c>
      <c r="O21" s="49">
        <f>C46</f>
        <v>363</v>
      </c>
    </row>
    <row r="22" spans="1:15" x14ac:dyDescent="0.2">
      <c r="A22" s="43">
        <v>21</v>
      </c>
      <c r="B22" s="60" t="s">
        <v>19</v>
      </c>
      <c r="C22" s="61">
        <v>1252</v>
      </c>
      <c r="D22" s="59"/>
      <c r="M22" s="47">
        <v>21</v>
      </c>
      <c r="N22" s="44" t="s">
        <v>27</v>
      </c>
      <c r="O22" s="57">
        <f>C9</f>
        <v>12739</v>
      </c>
    </row>
    <row r="23" spans="1:15" x14ac:dyDescent="0.2">
      <c r="A23" s="43">
        <v>22</v>
      </c>
      <c r="B23" s="60" t="s">
        <v>44</v>
      </c>
      <c r="C23" s="61">
        <v>1642</v>
      </c>
      <c r="D23" s="59"/>
      <c r="E23" s="46"/>
      <c r="M23" s="47">
        <v>22</v>
      </c>
      <c r="N23" s="44" t="s">
        <v>41</v>
      </c>
      <c r="O23" s="57">
        <f>C10</f>
        <v>1372</v>
      </c>
    </row>
    <row r="24" spans="1:15" x14ac:dyDescent="0.2">
      <c r="A24" s="43">
        <v>23</v>
      </c>
      <c r="B24" s="60" t="s">
        <v>38</v>
      </c>
      <c r="C24" s="61">
        <v>149</v>
      </c>
      <c r="D24" s="59"/>
      <c r="M24" s="47">
        <v>23</v>
      </c>
      <c r="N24" s="44" t="s">
        <v>22</v>
      </c>
      <c r="O24" s="57">
        <f>C11</f>
        <v>117</v>
      </c>
    </row>
    <row r="25" spans="1:15" x14ac:dyDescent="0.2">
      <c r="A25" s="43">
        <v>24</v>
      </c>
      <c r="B25" s="60" t="s">
        <v>18</v>
      </c>
      <c r="C25" s="61">
        <v>510</v>
      </c>
      <c r="D25" s="59"/>
      <c r="M25" s="47">
        <v>24</v>
      </c>
      <c r="N25" s="48" t="s">
        <v>34</v>
      </c>
      <c r="O25" s="49">
        <f>C47</f>
        <v>332</v>
      </c>
    </row>
    <row r="26" spans="1:15" x14ac:dyDescent="0.2">
      <c r="A26" s="43">
        <v>25</v>
      </c>
      <c r="B26" s="60" t="s">
        <v>40</v>
      </c>
      <c r="C26" s="61">
        <v>710</v>
      </c>
      <c r="D26" s="59"/>
      <c r="M26" s="47">
        <v>25</v>
      </c>
      <c r="N26" s="48" t="s">
        <v>48</v>
      </c>
      <c r="O26" s="49">
        <f>C48</f>
        <v>1647</v>
      </c>
    </row>
    <row r="27" spans="1:15" x14ac:dyDescent="0.2">
      <c r="A27" s="43">
        <v>26</v>
      </c>
      <c r="B27" s="60" t="s">
        <v>35</v>
      </c>
      <c r="C27" s="61">
        <v>566</v>
      </c>
      <c r="D27" s="59"/>
      <c r="M27" s="47">
        <v>26</v>
      </c>
      <c r="N27" s="48" t="s">
        <v>46</v>
      </c>
      <c r="O27" s="49">
        <f>C49</f>
        <v>381</v>
      </c>
    </row>
    <row r="28" spans="1:15" x14ac:dyDescent="0.2">
      <c r="A28" s="43">
        <v>27</v>
      </c>
      <c r="B28" s="60" t="s">
        <v>7</v>
      </c>
      <c r="C28" s="61">
        <v>508</v>
      </c>
      <c r="D28" s="59"/>
      <c r="M28" s="47">
        <v>27</v>
      </c>
      <c r="N28" s="48" t="s">
        <v>57</v>
      </c>
      <c r="O28" s="49">
        <f>C50</f>
        <v>1057</v>
      </c>
    </row>
    <row r="29" spans="1:15" x14ac:dyDescent="0.2">
      <c r="A29" s="43">
        <v>28</v>
      </c>
      <c r="B29" s="60" t="s">
        <v>54</v>
      </c>
      <c r="C29" s="61">
        <v>1957</v>
      </c>
      <c r="D29" s="59"/>
      <c r="M29" s="47">
        <v>28</v>
      </c>
      <c r="N29" s="44" t="s">
        <v>21</v>
      </c>
      <c r="O29" s="57">
        <f>C12</f>
        <v>7362</v>
      </c>
    </row>
    <row r="30" spans="1:15" x14ac:dyDescent="0.2">
      <c r="A30" s="43">
        <v>29</v>
      </c>
      <c r="B30" s="60" t="s">
        <v>20</v>
      </c>
      <c r="C30" s="61">
        <v>2568</v>
      </c>
      <c r="D30" s="59"/>
      <c r="M30" s="47">
        <v>29</v>
      </c>
      <c r="N30" s="48" t="s">
        <v>13</v>
      </c>
      <c r="O30" s="49">
        <f>C34</f>
        <v>1134</v>
      </c>
    </row>
    <row r="31" spans="1:15" x14ac:dyDescent="0.2">
      <c r="A31" s="43">
        <v>30</v>
      </c>
      <c r="B31" s="60" t="s">
        <v>6</v>
      </c>
      <c r="C31" s="61">
        <v>239</v>
      </c>
      <c r="D31" s="59"/>
      <c r="M31" s="47">
        <v>30</v>
      </c>
      <c r="N31" s="60" t="s">
        <v>40</v>
      </c>
      <c r="O31" s="61">
        <f>C26</f>
        <v>710</v>
      </c>
    </row>
    <row r="32" spans="1:15" x14ac:dyDescent="0.2">
      <c r="A32" s="43">
        <v>31</v>
      </c>
      <c r="B32" s="60" t="s">
        <v>33</v>
      </c>
      <c r="C32" s="61">
        <v>125</v>
      </c>
      <c r="D32" s="59"/>
      <c r="M32" s="47">
        <v>31</v>
      </c>
      <c r="N32" s="60" t="s">
        <v>29</v>
      </c>
      <c r="O32" s="61">
        <f>C21</f>
        <v>305</v>
      </c>
    </row>
    <row r="33" spans="1:15" x14ac:dyDescent="0.2">
      <c r="A33" s="43">
        <v>32</v>
      </c>
      <c r="B33" s="48" t="s">
        <v>51</v>
      </c>
      <c r="C33" s="49">
        <v>1907</v>
      </c>
      <c r="D33" s="59"/>
      <c r="M33" s="47">
        <v>32</v>
      </c>
      <c r="N33" s="60" t="s">
        <v>54</v>
      </c>
      <c r="O33" s="61">
        <f>C29</f>
        <v>1957</v>
      </c>
    </row>
    <row r="34" spans="1:15" x14ac:dyDescent="0.2">
      <c r="A34" s="43">
        <v>33</v>
      </c>
      <c r="B34" s="48" t="s">
        <v>13</v>
      </c>
      <c r="C34" s="49">
        <v>1134</v>
      </c>
      <c r="D34" s="59"/>
      <c r="M34" s="47">
        <v>33</v>
      </c>
      <c r="N34" s="60" t="s">
        <v>19</v>
      </c>
      <c r="O34" s="61">
        <f>C22</f>
        <v>1252</v>
      </c>
    </row>
    <row r="35" spans="1:15" x14ac:dyDescent="0.2">
      <c r="A35" s="43">
        <v>34</v>
      </c>
      <c r="B35" s="48" t="s">
        <v>31</v>
      </c>
      <c r="C35" s="49">
        <v>1203</v>
      </c>
      <c r="D35" s="59"/>
      <c r="M35" s="47">
        <v>34</v>
      </c>
      <c r="N35" s="60" t="s">
        <v>44</v>
      </c>
      <c r="O35" s="61">
        <f>C23</f>
        <v>1642</v>
      </c>
    </row>
    <row r="36" spans="1:15" x14ac:dyDescent="0.2">
      <c r="A36" s="43">
        <v>35</v>
      </c>
      <c r="B36" s="48" t="s">
        <v>28</v>
      </c>
      <c r="C36" s="49">
        <v>112</v>
      </c>
      <c r="D36" s="59"/>
      <c r="E36" s="46"/>
      <c r="M36" s="47">
        <v>35</v>
      </c>
      <c r="N36" s="60" t="s">
        <v>38</v>
      </c>
      <c r="O36" s="61">
        <f>C24</f>
        <v>149</v>
      </c>
    </row>
    <row r="37" spans="1:15" x14ac:dyDescent="0.2">
      <c r="A37" s="43">
        <v>36</v>
      </c>
      <c r="B37" s="48" t="s">
        <v>25</v>
      </c>
      <c r="C37" s="49">
        <v>1171</v>
      </c>
      <c r="D37" s="59"/>
      <c r="M37" s="47">
        <v>36</v>
      </c>
      <c r="N37" s="60" t="s">
        <v>18</v>
      </c>
      <c r="O37" s="61">
        <f>C25</f>
        <v>510</v>
      </c>
    </row>
    <row r="38" spans="1:15" x14ac:dyDescent="0.2">
      <c r="A38" s="43">
        <v>37</v>
      </c>
      <c r="B38" s="48" t="s">
        <v>47</v>
      </c>
      <c r="C38" s="49">
        <v>655</v>
      </c>
      <c r="D38" s="59"/>
      <c r="M38" s="47">
        <v>37</v>
      </c>
      <c r="N38" s="44" t="s">
        <v>12</v>
      </c>
      <c r="O38" s="57">
        <f>C13</f>
        <v>535</v>
      </c>
    </row>
    <row r="39" spans="1:15" x14ac:dyDescent="0.2">
      <c r="A39" s="43">
        <v>38</v>
      </c>
      <c r="B39" s="48" t="s">
        <v>43</v>
      </c>
      <c r="C39" s="49">
        <v>631</v>
      </c>
      <c r="D39" s="59"/>
      <c r="M39" s="47">
        <v>38</v>
      </c>
      <c r="N39" s="44" t="s">
        <v>16</v>
      </c>
      <c r="O39" s="57">
        <f>C14</f>
        <v>112</v>
      </c>
    </row>
    <row r="40" spans="1:15" x14ac:dyDescent="0.2">
      <c r="A40" s="43">
        <v>39</v>
      </c>
      <c r="B40" s="48" t="s">
        <v>36</v>
      </c>
      <c r="C40" s="49">
        <v>1294</v>
      </c>
      <c r="D40" s="59"/>
      <c r="M40" s="47">
        <v>39</v>
      </c>
      <c r="N40" s="60" t="s">
        <v>35</v>
      </c>
      <c r="O40" s="61">
        <f>C27</f>
        <v>566</v>
      </c>
    </row>
    <row r="41" spans="1:15" x14ac:dyDescent="0.2">
      <c r="A41" s="43">
        <v>40</v>
      </c>
      <c r="B41" s="48" t="s">
        <v>50</v>
      </c>
      <c r="C41" s="49">
        <v>721</v>
      </c>
      <c r="D41" s="59"/>
      <c r="M41" s="47">
        <v>40</v>
      </c>
      <c r="N41" s="44" t="s">
        <v>42</v>
      </c>
      <c r="O41" s="57">
        <f>C15</f>
        <v>420</v>
      </c>
    </row>
    <row r="42" spans="1:15" x14ac:dyDescent="0.2">
      <c r="A42" s="43">
        <v>41</v>
      </c>
      <c r="B42" s="48" t="s">
        <v>8</v>
      </c>
      <c r="C42" s="49">
        <v>1060</v>
      </c>
      <c r="D42" s="59"/>
      <c r="M42" s="47">
        <v>41</v>
      </c>
      <c r="N42" s="60" t="s">
        <v>7</v>
      </c>
      <c r="O42" s="61">
        <f>C28</f>
        <v>508</v>
      </c>
    </row>
    <row r="43" spans="1:15" x14ac:dyDescent="0.2">
      <c r="A43" s="43">
        <v>42</v>
      </c>
      <c r="B43" s="48" t="s">
        <v>23</v>
      </c>
      <c r="C43" s="49">
        <v>314</v>
      </c>
      <c r="D43" s="59"/>
      <c r="M43" s="47">
        <v>42</v>
      </c>
      <c r="N43" s="44" t="s">
        <v>39</v>
      </c>
      <c r="O43" s="57">
        <f>C16</f>
        <v>349</v>
      </c>
    </row>
    <row r="44" spans="1:15" x14ac:dyDescent="0.2">
      <c r="A44" s="43">
        <v>43</v>
      </c>
      <c r="B44" s="48" t="s">
        <v>9</v>
      </c>
      <c r="C44" s="49">
        <v>2453</v>
      </c>
      <c r="D44" s="59"/>
      <c r="M44" s="47">
        <v>43</v>
      </c>
      <c r="N44" s="48" t="s">
        <v>15</v>
      </c>
      <c r="O44" s="62">
        <f>C51</f>
        <v>6601</v>
      </c>
    </row>
    <row r="45" spans="1:15" x14ac:dyDescent="0.2">
      <c r="A45" s="43">
        <v>44</v>
      </c>
      <c r="B45" s="48" t="s">
        <v>61</v>
      </c>
      <c r="C45" s="49">
        <v>774</v>
      </c>
      <c r="D45" s="59"/>
      <c r="M45" s="47">
        <v>44</v>
      </c>
      <c r="N45" s="44" t="s">
        <v>30</v>
      </c>
      <c r="O45" s="57">
        <f>C17</f>
        <v>733</v>
      </c>
    </row>
    <row r="46" spans="1:15" x14ac:dyDescent="0.2">
      <c r="A46" s="43">
        <v>45</v>
      </c>
      <c r="B46" s="48" t="s">
        <v>850</v>
      </c>
      <c r="C46" s="49">
        <v>363</v>
      </c>
      <c r="D46" s="59"/>
      <c r="M46" s="47">
        <v>45</v>
      </c>
      <c r="N46" s="60" t="s">
        <v>20</v>
      </c>
      <c r="O46" s="61">
        <f>C30</f>
        <v>2568</v>
      </c>
    </row>
    <row r="47" spans="1:15" x14ac:dyDescent="0.2">
      <c r="A47" s="43">
        <v>46</v>
      </c>
      <c r="B47" s="48" t="s">
        <v>34</v>
      </c>
      <c r="C47" s="49">
        <v>332</v>
      </c>
      <c r="D47" s="59"/>
      <c r="M47" s="47">
        <v>46</v>
      </c>
      <c r="N47" s="60" t="s">
        <v>6</v>
      </c>
      <c r="O47" s="61">
        <f>C31</f>
        <v>239</v>
      </c>
    </row>
    <row r="48" spans="1:15" x14ac:dyDescent="0.2">
      <c r="A48" s="43">
        <v>47</v>
      </c>
      <c r="B48" s="48" t="s">
        <v>48</v>
      </c>
      <c r="C48" s="49">
        <v>1647</v>
      </c>
      <c r="D48" s="59"/>
      <c r="M48" s="47">
        <v>47</v>
      </c>
      <c r="N48" s="44" t="s">
        <v>11</v>
      </c>
      <c r="O48" s="57">
        <f>C18</f>
        <v>273</v>
      </c>
    </row>
    <row r="49" spans="1:15" x14ac:dyDescent="0.2">
      <c r="A49" s="43">
        <v>48</v>
      </c>
      <c r="B49" s="48" t="s">
        <v>46</v>
      </c>
      <c r="C49" s="49">
        <v>381</v>
      </c>
      <c r="D49" s="59"/>
      <c r="M49" s="47">
        <v>48</v>
      </c>
      <c r="N49" s="60" t="s">
        <v>33</v>
      </c>
      <c r="O49" s="61">
        <f>C32</f>
        <v>125</v>
      </c>
    </row>
    <row r="50" spans="1:15" x14ac:dyDescent="0.2">
      <c r="A50" s="43">
        <v>49</v>
      </c>
      <c r="B50" s="48" t="s">
        <v>57</v>
      </c>
      <c r="C50" s="49">
        <v>1057</v>
      </c>
      <c r="D50" s="59"/>
      <c r="M50" s="47">
        <v>49</v>
      </c>
      <c r="N50" s="44" t="s">
        <v>58</v>
      </c>
      <c r="O50" s="57">
        <f>C19</f>
        <v>431</v>
      </c>
    </row>
    <row r="51" spans="1:15" x14ac:dyDescent="0.2">
      <c r="A51" s="43">
        <v>50</v>
      </c>
      <c r="B51" s="48" t="s">
        <v>15</v>
      </c>
      <c r="C51" s="62">
        <v>6601</v>
      </c>
      <c r="D51" s="59"/>
      <c r="M51" s="47">
        <v>50</v>
      </c>
      <c r="N51" s="44" t="s">
        <v>26</v>
      </c>
      <c r="O51" s="57">
        <f>C20</f>
        <v>3269</v>
      </c>
    </row>
    <row r="52" spans="1:15" x14ac:dyDescent="0.2">
      <c r="A52" s="43">
        <v>51</v>
      </c>
      <c r="B52" s="48" t="s">
        <v>24</v>
      </c>
      <c r="C52" s="56">
        <v>547</v>
      </c>
      <c r="D52" s="59"/>
      <c r="M52" s="47">
        <v>51</v>
      </c>
      <c r="N52" s="48" t="s">
        <v>24</v>
      </c>
      <c r="O52" s="56">
        <f>C52</f>
        <v>547</v>
      </c>
    </row>
    <row r="53" spans="1:15" x14ac:dyDescent="0.2">
      <c r="B53" s="63" t="s">
        <v>64</v>
      </c>
      <c r="C53" s="62">
        <f>SUM(C2:C52)</f>
        <v>74548</v>
      </c>
      <c r="D53" s="59"/>
      <c r="N53" s="63" t="s">
        <v>64</v>
      </c>
      <c r="O53" s="62">
        <f>SUM(O2:O52)</f>
        <v>74548</v>
      </c>
    </row>
    <row r="54" spans="1:15" x14ac:dyDescent="0.2">
      <c r="D54" s="59"/>
    </row>
    <row r="55" spans="1:15" x14ac:dyDescent="0.2">
      <c r="D55" s="46" t="s">
        <v>827</v>
      </c>
    </row>
    <row r="56" spans="1:15" x14ac:dyDescent="0.2">
      <c r="D56" s="46"/>
    </row>
    <row r="57" spans="1:15" x14ac:dyDescent="0.2">
      <c r="D57" s="46"/>
    </row>
    <row r="58" spans="1:15" x14ac:dyDescent="0.2">
      <c r="D58" s="64"/>
      <c r="E58" s="46"/>
    </row>
    <row r="59" spans="1:15" x14ac:dyDescent="0.2">
      <c r="D59" s="46"/>
      <c r="E59" s="62"/>
      <c r="F59" s="46"/>
      <c r="G59" s="46"/>
      <c r="H59" s="46"/>
      <c r="I59" s="46"/>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3"/>
  <sheetViews>
    <sheetView workbookViewId="0">
      <selection activeCell="A3" sqref="A3"/>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16</v>
      </c>
      <c r="C5" s="65">
        <f>'Base de données pop.'!C14</f>
        <v>112</v>
      </c>
      <c r="D5" s="8">
        <v>6</v>
      </c>
      <c r="E5" s="8" t="s">
        <v>6</v>
      </c>
      <c r="F5" s="65">
        <f>'Base de données pop.'!C31</f>
        <v>239</v>
      </c>
      <c r="G5" s="8">
        <v>19</v>
      </c>
      <c r="H5" s="8" t="s">
        <v>7</v>
      </c>
      <c r="I5" s="65">
        <f>'Base de données pop.'!C28</f>
        <v>508</v>
      </c>
      <c r="J5" s="8">
        <v>31</v>
      </c>
      <c r="K5" s="8" t="s">
        <v>57</v>
      </c>
      <c r="L5" s="65">
        <f>'Base de données pop.'!C50</f>
        <v>1057</v>
      </c>
      <c r="M5" s="8">
        <v>43</v>
      </c>
      <c r="N5" s="8" t="s">
        <v>9</v>
      </c>
      <c r="O5" s="65">
        <f>'Base de données pop.'!C44</f>
        <v>2453</v>
      </c>
      <c r="P5" s="8">
        <v>46</v>
      </c>
      <c r="Q5" s="8" t="s">
        <v>26</v>
      </c>
      <c r="R5" s="65">
        <f>'Base de données pop.'!C20</f>
        <v>3269</v>
      </c>
    </row>
    <row r="6" spans="1:21" x14ac:dyDescent="0.2">
      <c r="A6" s="8">
        <v>2</v>
      </c>
      <c r="B6" s="8" t="s">
        <v>28</v>
      </c>
      <c r="C6" s="65">
        <f>'Base de données pop.'!C36</f>
        <v>112</v>
      </c>
      <c r="D6" s="8">
        <v>7</v>
      </c>
      <c r="E6" s="8" t="s">
        <v>17</v>
      </c>
      <c r="F6" s="65">
        <f>'Base de données pop.'!C3</f>
        <v>261</v>
      </c>
      <c r="G6" s="8">
        <v>20</v>
      </c>
      <c r="H6" s="8" t="s">
        <v>18</v>
      </c>
      <c r="I6" s="65">
        <f>'Base de données pop.'!C25</f>
        <v>510</v>
      </c>
      <c r="J6" s="8">
        <v>32</v>
      </c>
      <c r="K6" s="8" t="s">
        <v>8</v>
      </c>
      <c r="L6" s="65">
        <f>'Base de données pop.'!C42</f>
        <v>1060</v>
      </c>
      <c r="M6" s="8">
        <v>44</v>
      </c>
      <c r="N6" s="8" t="s">
        <v>20</v>
      </c>
      <c r="O6" s="65">
        <f>'Base de données pop.'!C30</f>
        <v>2568</v>
      </c>
      <c r="P6" s="8">
        <v>47</v>
      </c>
      <c r="Q6" s="8" t="s">
        <v>10</v>
      </c>
      <c r="R6" s="65">
        <f>'Base de données pop.'!C7</f>
        <v>3396</v>
      </c>
    </row>
    <row r="7" spans="1:21" x14ac:dyDescent="0.2">
      <c r="A7" s="8">
        <v>3</v>
      </c>
      <c r="B7" s="8" t="s">
        <v>22</v>
      </c>
      <c r="C7" s="65">
        <f>'Base de données pop.'!C11</f>
        <v>117</v>
      </c>
      <c r="D7" s="8">
        <v>8</v>
      </c>
      <c r="E7" s="8" t="s">
        <v>11</v>
      </c>
      <c r="F7" s="65">
        <f>'Base de données pop.'!C18</f>
        <v>273</v>
      </c>
      <c r="G7" s="8">
        <v>21</v>
      </c>
      <c r="H7" s="8" t="s">
        <v>12</v>
      </c>
      <c r="I7" s="65">
        <f>'Base de données pop.'!C13</f>
        <v>535</v>
      </c>
      <c r="J7" s="8">
        <v>33</v>
      </c>
      <c r="K7" s="8" t="s">
        <v>13</v>
      </c>
      <c r="L7" s="65">
        <f>'Base de données pop.'!C34</f>
        <v>1134</v>
      </c>
      <c r="M7" s="8">
        <v>45</v>
      </c>
      <c r="N7" s="8" t="s">
        <v>14</v>
      </c>
      <c r="O7" s="65">
        <f>'Base de données pop.'!C8</f>
        <v>2724</v>
      </c>
      <c r="P7" s="8">
        <v>48</v>
      </c>
      <c r="Q7" s="8" t="s">
        <v>32</v>
      </c>
      <c r="R7" s="65">
        <f>'Base de données pop.'!C6</f>
        <v>3667</v>
      </c>
    </row>
    <row r="8" spans="1:21" x14ac:dyDescent="0.2">
      <c r="A8" s="8">
        <v>4</v>
      </c>
      <c r="B8" s="8" t="s">
        <v>33</v>
      </c>
      <c r="C8" s="65">
        <f>'Base de données pop.'!C32</f>
        <v>125</v>
      </c>
      <c r="D8" s="8">
        <v>9</v>
      </c>
      <c r="E8" s="8" t="s">
        <v>29</v>
      </c>
      <c r="F8" s="65">
        <f>'Base de données pop.'!C21</f>
        <v>305</v>
      </c>
      <c r="G8" s="8">
        <v>22</v>
      </c>
      <c r="H8" s="8" t="s">
        <v>24</v>
      </c>
      <c r="I8" s="65">
        <f>'Base de données pop.'!C52</f>
        <v>547</v>
      </c>
      <c r="J8" s="8">
        <v>34</v>
      </c>
      <c r="K8" s="8" t="s">
        <v>25</v>
      </c>
      <c r="L8" s="65">
        <f>'Base de données pop.'!C37</f>
        <v>1171</v>
      </c>
      <c r="O8" s="1">
        <f>SUM(O5:O7)</f>
        <v>7745</v>
      </c>
      <c r="P8" s="8">
        <v>49</v>
      </c>
      <c r="Q8" s="8" t="s">
        <v>15</v>
      </c>
      <c r="R8" s="65">
        <f>'Base de données pop.'!C51</f>
        <v>6601</v>
      </c>
    </row>
    <row r="9" spans="1:21" x14ac:dyDescent="0.2">
      <c r="A9" s="8">
        <v>5</v>
      </c>
      <c r="B9" s="8" t="s">
        <v>38</v>
      </c>
      <c r="C9" s="65">
        <f>'Base de données pop.'!C24</f>
        <v>149</v>
      </c>
      <c r="D9" s="8">
        <v>10</v>
      </c>
      <c r="E9" s="8" t="s">
        <v>23</v>
      </c>
      <c r="F9" s="65">
        <f>'Base de données pop.'!C43</f>
        <v>314</v>
      </c>
      <c r="G9" s="8">
        <v>23</v>
      </c>
      <c r="H9" s="8" t="s">
        <v>35</v>
      </c>
      <c r="I9" s="65">
        <f>'Base de données pop.'!C27</f>
        <v>566</v>
      </c>
      <c r="J9" s="8">
        <v>35</v>
      </c>
      <c r="K9" s="8" t="s">
        <v>31</v>
      </c>
      <c r="L9" s="65">
        <f>'Base de données pop.'!C35</f>
        <v>1203</v>
      </c>
      <c r="N9" s="66" t="s">
        <v>37</v>
      </c>
      <c r="O9" s="13">
        <f>O8/5</f>
        <v>1549</v>
      </c>
      <c r="P9" s="8">
        <v>50</v>
      </c>
      <c r="Q9" s="8" t="s">
        <v>21</v>
      </c>
      <c r="R9" s="65">
        <f>'Base de données pop.'!C12</f>
        <v>7362</v>
      </c>
    </row>
    <row r="10" spans="1:21" x14ac:dyDescent="0.2">
      <c r="C10" s="1">
        <f>SUM(C5:C9)</f>
        <v>615</v>
      </c>
      <c r="D10" s="8">
        <v>11</v>
      </c>
      <c r="E10" s="8" t="s">
        <v>34</v>
      </c>
      <c r="F10" s="65">
        <f>'Base de données pop.'!C47</f>
        <v>332</v>
      </c>
      <c r="G10" s="8">
        <v>24</v>
      </c>
      <c r="H10" s="8" t="s">
        <v>43</v>
      </c>
      <c r="I10" s="65">
        <f>'Base de données pop.'!C39</f>
        <v>631</v>
      </c>
      <c r="J10" s="8">
        <v>36</v>
      </c>
      <c r="K10" s="8" t="s">
        <v>19</v>
      </c>
      <c r="L10" s="65">
        <f>'Base de données pop.'!C22</f>
        <v>1252</v>
      </c>
      <c r="P10" s="8">
        <v>51</v>
      </c>
      <c r="Q10" s="8" t="s">
        <v>27</v>
      </c>
      <c r="R10" s="65">
        <f>'Base de données pop.'!C9</f>
        <v>12739</v>
      </c>
    </row>
    <row r="11" spans="1:21" x14ac:dyDescent="0.2">
      <c r="B11" s="66" t="s">
        <v>37</v>
      </c>
      <c r="C11" s="13">
        <f>C10/8</f>
        <v>76.875</v>
      </c>
      <c r="D11" s="8">
        <v>12</v>
      </c>
      <c r="E11" s="8" t="s">
        <v>39</v>
      </c>
      <c r="F11" s="65">
        <f>'Base de données pop.'!C16</f>
        <v>349</v>
      </c>
      <c r="G11" s="8">
        <v>25</v>
      </c>
      <c r="H11" s="8" t="s">
        <v>47</v>
      </c>
      <c r="I11" s="65">
        <f>'Base de données pop.'!C38</f>
        <v>655</v>
      </c>
      <c r="J11" s="8">
        <v>37</v>
      </c>
      <c r="K11" s="8" t="s">
        <v>36</v>
      </c>
      <c r="L11" s="65">
        <f>'Base de données pop.'!C40</f>
        <v>1294</v>
      </c>
      <c r="R11" s="1">
        <f>SUM(R5:R10)</f>
        <v>37034</v>
      </c>
    </row>
    <row r="12" spans="1:21" x14ac:dyDescent="0.2">
      <c r="D12" s="8">
        <v>13</v>
      </c>
      <c r="E12" s="8" t="s">
        <v>850</v>
      </c>
      <c r="F12" s="65">
        <f>'Base de données pop.'!C46</f>
        <v>363</v>
      </c>
      <c r="G12" s="8">
        <v>26</v>
      </c>
      <c r="H12" s="8" t="s">
        <v>40</v>
      </c>
      <c r="I12" s="65">
        <f>'Base de données pop.'!C26</f>
        <v>710</v>
      </c>
      <c r="J12" s="8">
        <v>38</v>
      </c>
      <c r="K12" s="8" t="s">
        <v>41</v>
      </c>
      <c r="L12" s="65">
        <f>'Base de données pop.'!C10</f>
        <v>1372</v>
      </c>
      <c r="Q12" s="66" t="s">
        <v>37</v>
      </c>
      <c r="R12" s="13">
        <f>R11/4</f>
        <v>9258.5</v>
      </c>
      <c r="T12" s="65"/>
    </row>
    <row r="13" spans="1:21" x14ac:dyDescent="0.2">
      <c r="D13" s="8">
        <v>14</v>
      </c>
      <c r="E13" s="8" t="s">
        <v>46</v>
      </c>
      <c r="F13" s="65">
        <f>'Base de données pop.'!C49</f>
        <v>381</v>
      </c>
      <c r="G13" s="8">
        <v>27</v>
      </c>
      <c r="H13" s="8" t="s">
        <v>50</v>
      </c>
      <c r="I13" s="65">
        <f>'Base de données pop.'!C41</f>
        <v>721</v>
      </c>
      <c r="J13" s="8">
        <v>39</v>
      </c>
      <c r="K13" s="8" t="s">
        <v>44</v>
      </c>
      <c r="L13" s="65">
        <f>'Base de données pop.'!C23</f>
        <v>1642</v>
      </c>
      <c r="T13" s="65"/>
    </row>
    <row r="14" spans="1:21" x14ac:dyDescent="0.2">
      <c r="C14" s="65"/>
      <c r="D14" s="8">
        <v>15</v>
      </c>
      <c r="E14" s="8" t="s">
        <v>42</v>
      </c>
      <c r="F14" s="65">
        <f>'Base de données pop.'!C15</f>
        <v>420</v>
      </c>
      <c r="G14" s="8">
        <v>28</v>
      </c>
      <c r="H14" s="8" t="s">
        <v>30</v>
      </c>
      <c r="I14" s="65">
        <f>'Base de données pop.'!C17</f>
        <v>733</v>
      </c>
      <c r="J14" s="8">
        <v>40</v>
      </c>
      <c r="K14" s="8" t="s">
        <v>48</v>
      </c>
      <c r="L14" s="65">
        <f>'Base de données pop.'!C48</f>
        <v>1647</v>
      </c>
      <c r="S14" s="3">
        <f>C10+F18+I17+L17+O8+R11</f>
        <v>74548</v>
      </c>
      <c r="U14" s="65"/>
    </row>
    <row r="15" spans="1:21" x14ac:dyDescent="0.2">
      <c r="D15" s="8">
        <v>16</v>
      </c>
      <c r="E15" s="8" t="s">
        <v>58</v>
      </c>
      <c r="F15" s="65">
        <f>'Base de données pop.'!C19</f>
        <v>431</v>
      </c>
      <c r="G15" s="8">
        <v>29</v>
      </c>
      <c r="H15" s="8" t="s">
        <v>53</v>
      </c>
      <c r="I15" s="65">
        <f>'Base de données pop.'!C45</f>
        <v>774</v>
      </c>
      <c r="J15" s="8">
        <v>41</v>
      </c>
      <c r="K15" s="8" t="s">
        <v>51</v>
      </c>
      <c r="L15" s="65">
        <f>'Base de données pop.'!C33</f>
        <v>1907</v>
      </c>
      <c r="S15" s="65">
        <f>S14/53</f>
        <v>1406.566037735849</v>
      </c>
    </row>
    <row r="16" spans="1:21" x14ac:dyDescent="0.2">
      <c r="D16" s="8">
        <v>17</v>
      </c>
      <c r="E16" s="8" t="s">
        <v>52</v>
      </c>
      <c r="F16" s="65">
        <f>'Base de données pop.'!C5</f>
        <v>445</v>
      </c>
      <c r="G16" s="8">
        <v>30</v>
      </c>
      <c r="H16" s="8" t="s">
        <v>55</v>
      </c>
      <c r="I16" s="65">
        <f>'Base de données pop.'!C2</f>
        <v>961</v>
      </c>
      <c r="J16" s="8">
        <v>42</v>
      </c>
      <c r="K16" s="8" t="s">
        <v>54</v>
      </c>
      <c r="L16" s="65">
        <f>'Base de données pop.'!C29</f>
        <v>1957</v>
      </c>
      <c r="Q16" s="65"/>
      <c r="U16" s="8" t="s">
        <v>65</v>
      </c>
    </row>
    <row r="17" spans="2:21" ht="15" x14ac:dyDescent="0.25">
      <c r="D17" s="8">
        <v>18</v>
      </c>
      <c r="E17" s="8" t="s">
        <v>56</v>
      </c>
      <c r="F17" s="65">
        <f>'Base de données pop.'!C4</f>
        <v>494</v>
      </c>
      <c r="I17" s="67">
        <f>SUM(I5:I16)</f>
        <v>7851</v>
      </c>
      <c r="L17" s="1">
        <f>SUM(L5:L16)</f>
        <v>16696</v>
      </c>
      <c r="R17" s="65">
        <f>C10+F18+I17+L17+O8+R11</f>
        <v>74548</v>
      </c>
      <c r="U17" s="65">
        <f>C10+F18+I17</f>
        <v>13073</v>
      </c>
    </row>
    <row r="18" spans="2:21" x14ac:dyDescent="0.2">
      <c r="B18" s="65">
        <f>C10+F18+I17+L17+O8+R11</f>
        <v>74548</v>
      </c>
      <c r="F18" s="1">
        <f>SUM(F5:F17)</f>
        <v>4607</v>
      </c>
      <c r="H18" s="66" t="s">
        <v>37</v>
      </c>
      <c r="I18" s="13">
        <f>I17/11</f>
        <v>713.72727272727275</v>
      </c>
      <c r="K18" s="66" t="s">
        <v>37</v>
      </c>
      <c r="L18" s="13">
        <f>L17/12</f>
        <v>1391.3333333333333</v>
      </c>
      <c r="Q18" s="65"/>
    </row>
    <row r="19" spans="2:21" x14ac:dyDescent="0.2">
      <c r="E19" s="66" t="s">
        <v>37</v>
      </c>
      <c r="F19" s="13">
        <f>F18/13</f>
        <v>354.38461538461536</v>
      </c>
    </row>
    <row r="20" spans="2:21" x14ac:dyDescent="0.2">
      <c r="O20" s="65"/>
    </row>
    <row r="21" spans="2:21" x14ac:dyDescent="0.2">
      <c r="B21" s="8" t="s">
        <v>886</v>
      </c>
      <c r="C21" s="1">
        <f>C10</f>
        <v>615</v>
      </c>
      <c r="F21" s="65"/>
      <c r="O21" s="65"/>
    </row>
    <row r="22" spans="2:21" x14ac:dyDescent="0.2">
      <c r="B22" s="8" t="s">
        <v>72</v>
      </c>
      <c r="C22" s="1">
        <f>F18</f>
        <v>4607</v>
      </c>
      <c r="O22" s="68"/>
    </row>
    <row r="23" spans="2:21" ht="15" x14ac:dyDescent="0.25">
      <c r="B23" s="8" t="s">
        <v>887</v>
      </c>
      <c r="C23" s="1">
        <f>I17</f>
        <v>7851</v>
      </c>
      <c r="K23" s="8" t="s">
        <v>62</v>
      </c>
      <c r="L23" s="8" t="s">
        <v>27</v>
      </c>
      <c r="M23" s="7"/>
      <c r="N23" s="7"/>
      <c r="O23" s="65">
        <v>39660</v>
      </c>
    </row>
    <row r="24" spans="2:21" x14ac:dyDescent="0.2">
      <c r="B24" s="8" t="s">
        <v>73</v>
      </c>
      <c r="C24" s="1">
        <f>L17</f>
        <v>16696</v>
      </c>
      <c r="L24" s="8" t="s">
        <v>63</v>
      </c>
      <c r="O24" s="65">
        <v>10531</v>
      </c>
      <c r="R24" s="65"/>
    </row>
    <row r="25" spans="2:21" x14ac:dyDescent="0.2">
      <c r="B25" s="8" t="s">
        <v>74</v>
      </c>
      <c r="C25" s="1">
        <f>O8</f>
        <v>7745</v>
      </c>
      <c r="D25" s="13"/>
      <c r="E25" s="69">
        <f>C21*100/B18</f>
        <v>0.82497183023018728</v>
      </c>
      <c r="L25" s="8" t="s">
        <v>15</v>
      </c>
      <c r="O25" s="65">
        <v>24357</v>
      </c>
      <c r="R25" s="65"/>
    </row>
    <row r="26" spans="2:21" ht="15" x14ac:dyDescent="0.25">
      <c r="B26" s="8" t="s">
        <v>75</v>
      </c>
      <c r="C26" s="1">
        <f>R11</f>
        <v>37034</v>
      </c>
      <c r="D26" s="13"/>
      <c r="E26" s="69">
        <f>C22*100/B18</f>
        <v>6.1799109298706876</v>
      </c>
      <c r="F26" s="69">
        <f>E25+E26</f>
        <v>7.004882760100875</v>
      </c>
      <c r="L26" s="7" t="s">
        <v>64</v>
      </c>
      <c r="O26" s="71">
        <f>SUM(O23:O25)</f>
        <v>74548</v>
      </c>
      <c r="R26" s="65"/>
    </row>
    <row r="27" spans="2:21" ht="15" x14ac:dyDescent="0.25">
      <c r="C27" s="71">
        <f>SUM(C21:C26)</f>
        <v>74548</v>
      </c>
      <c r="D27" s="70"/>
      <c r="E27" s="69">
        <f>C23*100/B18</f>
        <v>10.531469657133659</v>
      </c>
    </row>
    <row r="28" spans="2:21" x14ac:dyDescent="0.2">
      <c r="D28" s="70"/>
      <c r="E28" s="69">
        <f>C24*100/B18</f>
        <v>22.396308418736922</v>
      </c>
    </row>
    <row r="29" spans="2:21" x14ac:dyDescent="0.2">
      <c r="C29" s="74"/>
      <c r="D29" s="70"/>
      <c r="E29" s="69">
        <f>C25*100/B18</f>
        <v>10.389279390459839</v>
      </c>
    </row>
    <row r="30" spans="2:21" x14ac:dyDescent="0.2">
      <c r="D30" s="70"/>
      <c r="E30" s="69">
        <f>C26*100/B18</f>
        <v>49.678059773568705</v>
      </c>
    </row>
    <row r="31" spans="2:21" x14ac:dyDescent="0.2">
      <c r="D31" s="72"/>
      <c r="E31" s="69">
        <f>C27*100/B18</f>
        <v>100</v>
      </c>
    </row>
    <row r="32" spans="2:21" x14ac:dyDescent="0.2">
      <c r="D32" s="73"/>
      <c r="E32" s="73"/>
    </row>
    <row r="33" spans="3:5" x14ac:dyDescent="0.2">
      <c r="C33" s="74"/>
      <c r="D33" s="73"/>
      <c r="E33" s="73"/>
    </row>
  </sheetData>
  <sortState ref="J5:L16">
    <sortCondition ref="L5:L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92"/>
  <sheetViews>
    <sheetView zoomScale="115" zoomScaleNormal="115" workbookViewId="0">
      <pane xSplit="4" ySplit="4" topLeftCell="BA129"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56" width="16.28515625" style="8" customWidth="1"/>
    <col min="57" max="59" width="17.85546875" style="8" customWidth="1"/>
    <col min="60" max="16384" width="11.42578125" style="8"/>
  </cols>
  <sheetData>
    <row r="2" spans="1:59" ht="26.25" x14ac:dyDescent="0.4">
      <c r="A2" s="6" t="s">
        <v>851</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3875935.6499999994</v>
      </c>
      <c r="F5" s="12">
        <f t="shared" ref="F5:BG5" si="0">F6+F16+F28+F32+F40+F44+F54+F57+F65</f>
        <v>1084338.1300000001</v>
      </c>
      <c r="G5" s="12">
        <f t="shared" si="0"/>
        <v>1612097.11</v>
      </c>
      <c r="H5" s="12">
        <f t="shared" si="0"/>
        <v>2125952.1199999996</v>
      </c>
      <c r="I5" s="12">
        <f t="shared" si="0"/>
        <v>17419563.23</v>
      </c>
      <c r="J5" s="12">
        <f t="shared" si="0"/>
        <v>14948995.18</v>
      </c>
      <c r="K5" s="12">
        <f t="shared" si="0"/>
        <v>11921701.65</v>
      </c>
      <c r="L5" s="12">
        <f t="shared" si="0"/>
        <v>122162863.33000001</v>
      </c>
      <c r="M5" s="12">
        <f t="shared" si="0"/>
        <v>8367889.0399999991</v>
      </c>
      <c r="N5" s="12">
        <f t="shared" si="0"/>
        <v>532005.37</v>
      </c>
      <c r="O5" s="12">
        <f t="shared" si="0"/>
        <v>29538971.119999997</v>
      </c>
      <c r="P5" s="12">
        <f t="shared" si="0"/>
        <v>1869554.1400000004</v>
      </c>
      <c r="Q5" s="12">
        <f t="shared" si="0"/>
        <v>401085.04999999993</v>
      </c>
      <c r="R5" s="12">
        <f t="shared" si="0"/>
        <v>1836153.05</v>
      </c>
      <c r="S5" s="12">
        <f t="shared" si="0"/>
        <v>1480612.7400000002</v>
      </c>
      <c r="T5" s="12">
        <f t="shared" si="0"/>
        <v>3287477.01</v>
      </c>
      <c r="U5" s="12">
        <f t="shared" si="0"/>
        <v>1043149.6799999999</v>
      </c>
      <c r="V5" s="12">
        <f t="shared" si="0"/>
        <v>2449228.9299999997</v>
      </c>
      <c r="W5" s="12">
        <f t="shared" si="0"/>
        <v>12701774.880000001</v>
      </c>
      <c r="X5" s="12">
        <f t="shared" si="0"/>
        <v>1948357.59</v>
      </c>
      <c r="Y5" s="12">
        <f t="shared" si="0"/>
        <v>6248970.2400000002</v>
      </c>
      <c r="Z5" s="12">
        <f t="shared" si="0"/>
        <v>17228348.149999999</v>
      </c>
      <c r="AA5" s="12">
        <f t="shared" si="0"/>
        <v>886123.69000000006</v>
      </c>
      <c r="AB5" s="12">
        <f t="shared" si="0"/>
        <v>2834740.41</v>
      </c>
      <c r="AC5" s="12">
        <f t="shared" si="0"/>
        <v>4046721.1900000004</v>
      </c>
      <c r="AD5" s="12">
        <f t="shared" si="0"/>
        <v>2897189.48</v>
      </c>
      <c r="AE5" s="12">
        <f t="shared" si="0"/>
        <v>4270727.8899999997</v>
      </c>
      <c r="AF5" s="12">
        <f t="shared" si="0"/>
        <v>9843983.8999999985</v>
      </c>
      <c r="AG5" s="12">
        <f t="shared" si="0"/>
        <v>13055861.17</v>
      </c>
      <c r="AH5" s="12">
        <f t="shared" si="0"/>
        <v>1048366.54</v>
      </c>
      <c r="AI5" s="12">
        <f t="shared" si="0"/>
        <v>596584.56000000006</v>
      </c>
      <c r="AJ5" s="12">
        <f t="shared" si="0"/>
        <v>8350601.5200000005</v>
      </c>
      <c r="AK5" s="12">
        <f t="shared" si="0"/>
        <v>6084896.3099999996</v>
      </c>
      <c r="AL5" s="12">
        <f t="shared" si="0"/>
        <v>5387779.8899999997</v>
      </c>
      <c r="AM5" s="12">
        <f t="shared" si="0"/>
        <v>695062.60999999987</v>
      </c>
      <c r="AN5" s="12">
        <f t="shared" si="0"/>
        <v>10585736.48</v>
      </c>
      <c r="AO5" s="12">
        <f t="shared" si="0"/>
        <v>4008839.4699999997</v>
      </c>
      <c r="AP5" s="12">
        <f t="shared" si="0"/>
        <v>3020715.3699999996</v>
      </c>
      <c r="AQ5" s="12">
        <f t="shared" si="0"/>
        <v>6779732.4200000009</v>
      </c>
      <c r="AR5" s="12">
        <f t="shared" si="0"/>
        <v>3388105.5100000002</v>
      </c>
      <c r="AS5" s="12">
        <f t="shared" si="0"/>
        <v>4845724.4000000004</v>
      </c>
      <c r="AT5" s="12">
        <f t="shared" si="0"/>
        <v>1369894.54</v>
      </c>
      <c r="AU5" s="12">
        <f t="shared" si="0"/>
        <v>10852118.409999998</v>
      </c>
      <c r="AV5" s="12">
        <f t="shared" si="0"/>
        <v>3466811.24</v>
      </c>
      <c r="AW5" s="12">
        <f t="shared" si="0"/>
        <v>1587503.45</v>
      </c>
      <c r="AX5" s="12">
        <f t="shared" si="0"/>
        <v>1427455.83</v>
      </c>
      <c r="AY5" s="12">
        <f t="shared" si="0"/>
        <v>7466374.3200000003</v>
      </c>
      <c r="AZ5" s="12">
        <f t="shared" si="0"/>
        <v>1862055.76</v>
      </c>
      <c r="BA5" s="12">
        <f t="shared" si="0"/>
        <v>5708098.0100000007</v>
      </c>
      <c r="BB5" s="12">
        <f t="shared" si="0"/>
        <v>42599549.75</v>
      </c>
      <c r="BC5" s="12">
        <f t="shared" si="0"/>
        <v>2540714.0099999998</v>
      </c>
      <c r="BD5" s="12">
        <f t="shared" si="0"/>
        <v>435593091.51999998</v>
      </c>
      <c r="BE5" s="12">
        <f t="shared" si="0"/>
        <v>238659347.41000006</v>
      </c>
      <c r="BF5" s="12">
        <f t="shared" si="0"/>
        <v>64905974.81000001</v>
      </c>
      <c r="BG5" s="12">
        <f t="shared" si="0"/>
        <v>132027769.30000001</v>
      </c>
    </row>
    <row r="6" spans="1:59" ht="15" x14ac:dyDescent="0.25">
      <c r="A6" s="75"/>
      <c r="B6" s="75">
        <v>30</v>
      </c>
      <c r="C6" s="75"/>
      <c r="D6" s="75" t="s">
        <v>60</v>
      </c>
      <c r="E6" s="76">
        <f>E7+E8+E9+E10+E11+E12+E13+E14</f>
        <v>482187.44999999995</v>
      </c>
      <c r="F6" s="76">
        <f t="shared" ref="F6:BG6" si="1">F7+F8+F9+F10+F11+F12+F13+F14</f>
        <v>51802.35</v>
      </c>
      <c r="G6" s="76">
        <f t="shared" si="1"/>
        <v>131921.65000000002</v>
      </c>
      <c r="H6" s="76">
        <f t="shared" si="1"/>
        <v>291460.84999999998</v>
      </c>
      <c r="I6" s="76">
        <f t="shared" si="1"/>
        <v>2888125.87</v>
      </c>
      <c r="J6" s="76">
        <f t="shared" si="1"/>
        <v>3034162.3200000003</v>
      </c>
      <c r="K6" s="76">
        <f t="shared" si="1"/>
        <v>1141069.6000000001</v>
      </c>
      <c r="L6" s="76">
        <f t="shared" si="1"/>
        <v>25458251.550000001</v>
      </c>
      <c r="M6" s="76">
        <f t="shared" si="1"/>
        <v>1264390.3999999999</v>
      </c>
      <c r="N6" s="76">
        <f t="shared" si="1"/>
        <v>61677.939999999995</v>
      </c>
      <c r="O6" s="76">
        <f t="shared" si="1"/>
        <v>4084459.27</v>
      </c>
      <c r="P6" s="76">
        <f t="shared" si="1"/>
        <v>211434.19999999998</v>
      </c>
      <c r="Q6" s="76">
        <f t="shared" si="1"/>
        <v>72370.8</v>
      </c>
      <c r="R6" s="76">
        <f t="shared" si="1"/>
        <v>238097</v>
      </c>
      <c r="S6" s="76">
        <f t="shared" si="1"/>
        <v>148861.20000000001</v>
      </c>
      <c r="T6" s="76">
        <f t="shared" si="1"/>
        <v>321731.10000000003</v>
      </c>
      <c r="U6" s="76">
        <f t="shared" si="1"/>
        <v>116955.77999999998</v>
      </c>
      <c r="V6" s="76">
        <f t="shared" si="1"/>
        <v>308042.64999999997</v>
      </c>
      <c r="W6" s="76">
        <f t="shared" si="1"/>
        <v>2429350.5500000003</v>
      </c>
      <c r="X6" s="76">
        <f t="shared" si="1"/>
        <v>137872.9</v>
      </c>
      <c r="Y6" s="76">
        <f t="shared" si="1"/>
        <v>1411551.9000000001</v>
      </c>
      <c r="Z6" s="76">
        <f t="shared" si="1"/>
        <v>1958979.4599999997</v>
      </c>
      <c r="AA6" s="76">
        <f t="shared" si="1"/>
        <v>68982.7</v>
      </c>
      <c r="AB6" s="76">
        <f t="shared" si="1"/>
        <v>401509.8</v>
      </c>
      <c r="AC6" s="76">
        <f t="shared" si="1"/>
        <v>521343.35000000009</v>
      </c>
      <c r="AD6" s="76">
        <f t="shared" si="1"/>
        <v>496186.2</v>
      </c>
      <c r="AE6" s="76">
        <f t="shared" si="1"/>
        <v>402877.42</v>
      </c>
      <c r="AF6" s="76">
        <f t="shared" si="1"/>
        <v>1063186.3</v>
      </c>
      <c r="AG6" s="76">
        <f t="shared" si="1"/>
        <v>2035370.5</v>
      </c>
      <c r="AH6" s="76">
        <f t="shared" si="1"/>
        <v>100622.25000000001</v>
      </c>
      <c r="AI6" s="76">
        <f t="shared" si="1"/>
        <v>69322.899999999994</v>
      </c>
      <c r="AJ6" s="76">
        <f t="shared" si="1"/>
        <v>757870.07000000007</v>
      </c>
      <c r="AK6" s="76">
        <f t="shared" si="1"/>
        <v>650342.94999999995</v>
      </c>
      <c r="AL6" s="76">
        <f t="shared" si="1"/>
        <v>567185.91</v>
      </c>
      <c r="AM6" s="76">
        <f t="shared" si="1"/>
        <v>73288.710000000006</v>
      </c>
      <c r="AN6" s="76">
        <f t="shared" si="1"/>
        <v>1419442.5500000003</v>
      </c>
      <c r="AO6" s="76">
        <f t="shared" si="1"/>
        <v>964765.13</v>
      </c>
      <c r="AP6" s="76">
        <f t="shared" si="1"/>
        <v>239972.35</v>
      </c>
      <c r="AQ6" s="76">
        <f t="shared" si="1"/>
        <v>1429933.2000000002</v>
      </c>
      <c r="AR6" s="76">
        <f t="shared" si="1"/>
        <v>477966.14999999997</v>
      </c>
      <c r="AS6" s="76">
        <f t="shared" si="1"/>
        <v>572261.65</v>
      </c>
      <c r="AT6" s="76">
        <f t="shared" si="1"/>
        <v>110596.92</v>
      </c>
      <c r="AU6" s="76">
        <f t="shared" si="1"/>
        <v>1121975.3</v>
      </c>
      <c r="AV6" s="76">
        <f t="shared" si="1"/>
        <v>527972.41</v>
      </c>
      <c r="AW6" s="76">
        <f t="shared" si="1"/>
        <v>146684.51999999999</v>
      </c>
      <c r="AX6" s="76">
        <f t="shared" si="1"/>
        <v>147970.4</v>
      </c>
      <c r="AY6" s="76">
        <f t="shared" si="1"/>
        <v>902010.81</v>
      </c>
      <c r="AZ6" s="76">
        <f t="shared" si="1"/>
        <v>143884.9</v>
      </c>
      <c r="BA6" s="76">
        <f t="shared" si="1"/>
        <v>1302379.3500000001</v>
      </c>
      <c r="BB6" s="76">
        <f t="shared" si="1"/>
        <v>11343010.379999999</v>
      </c>
      <c r="BC6" s="76">
        <f t="shared" si="1"/>
        <v>335212.45</v>
      </c>
      <c r="BD6" s="76">
        <f t="shared" si="1"/>
        <v>74638884.320000023</v>
      </c>
      <c r="BE6" s="76">
        <f t="shared" si="1"/>
        <v>42736352.530000009</v>
      </c>
      <c r="BF6" s="76">
        <f t="shared" si="1"/>
        <v>8667805.6800000016</v>
      </c>
      <c r="BG6" s="76">
        <f t="shared" si="1"/>
        <v>23234726.109999999</v>
      </c>
    </row>
    <row r="7" spans="1:59" x14ac:dyDescent="0.2">
      <c r="C7" s="8">
        <v>300</v>
      </c>
      <c r="D7" s="8" t="s">
        <v>77</v>
      </c>
      <c r="E7" s="13">
        <v>42148.35</v>
      </c>
      <c r="F7" s="13">
        <v>18572</v>
      </c>
      <c r="G7" s="13">
        <v>27445.25</v>
      </c>
      <c r="H7" s="13">
        <v>50414.85</v>
      </c>
      <c r="I7" s="13">
        <v>149419.29999999999</v>
      </c>
      <c r="J7" s="13">
        <v>148762</v>
      </c>
      <c r="K7" s="13">
        <v>143861.4</v>
      </c>
      <c r="L7" s="13">
        <v>662390.5</v>
      </c>
      <c r="M7" s="13">
        <v>66933.75</v>
      </c>
      <c r="N7" s="13">
        <v>19296.5</v>
      </c>
      <c r="O7" s="13">
        <v>329645.95</v>
      </c>
      <c r="P7" s="13">
        <v>55907</v>
      </c>
      <c r="Q7" s="13">
        <v>13440</v>
      </c>
      <c r="R7" s="13">
        <v>22810.400000000001</v>
      </c>
      <c r="S7" s="13">
        <v>26823.05</v>
      </c>
      <c r="T7" s="13">
        <v>54108.95</v>
      </c>
      <c r="U7" s="13">
        <v>13834.65</v>
      </c>
      <c r="V7" s="13">
        <v>47312.5</v>
      </c>
      <c r="W7" s="13">
        <v>134427</v>
      </c>
      <c r="X7" s="13">
        <v>59393.95</v>
      </c>
      <c r="Y7" s="13">
        <v>80524.05</v>
      </c>
      <c r="Z7" s="13">
        <v>96828</v>
      </c>
      <c r="AA7" s="13">
        <v>13494.8</v>
      </c>
      <c r="AB7" s="13">
        <v>24112.5</v>
      </c>
      <c r="AC7" s="13">
        <v>28112.2</v>
      </c>
      <c r="AD7" s="13">
        <v>40907.5</v>
      </c>
      <c r="AE7" s="13">
        <v>42801.1</v>
      </c>
      <c r="AF7" s="13">
        <v>92684</v>
      </c>
      <c r="AG7" s="13">
        <v>107116.5</v>
      </c>
      <c r="AH7" s="13">
        <v>18308.8</v>
      </c>
      <c r="AI7" s="13">
        <v>18496.25</v>
      </c>
      <c r="AJ7" s="13">
        <v>86121.3</v>
      </c>
      <c r="AK7" s="13">
        <v>54709.4</v>
      </c>
      <c r="AL7" s="13">
        <v>59830.7</v>
      </c>
      <c r="AM7" s="13">
        <v>21571.8</v>
      </c>
      <c r="AN7" s="13">
        <v>89521.75</v>
      </c>
      <c r="AO7" s="13">
        <v>36001.449999999997</v>
      </c>
      <c r="AP7" s="13">
        <v>45520.800000000003</v>
      </c>
      <c r="AQ7" s="13">
        <v>86610.05</v>
      </c>
      <c r="AR7" s="13">
        <v>44662.5</v>
      </c>
      <c r="AS7" s="13">
        <v>41350</v>
      </c>
      <c r="AT7" s="13">
        <v>15575</v>
      </c>
      <c r="AU7" s="13">
        <v>62580</v>
      </c>
      <c r="AV7" s="13">
        <v>68547.5</v>
      </c>
      <c r="AW7" s="13">
        <v>18232.5</v>
      </c>
      <c r="AX7" s="13">
        <v>13887.5</v>
      </c>
      <c r="AY7" s="13">
        <v>57750</v>
      </c>
      <c r="AZ7" s="13">
        <v>22875.05</v>
      </c>
      <c r="BA7" s="13">
        <v>56629.75</v>
      </c>
      <c r="BB7" s="13">
        <v>250752.7</v>
      </c>
      <c r="BC7" s="13">
        <v>26812.799999999999</v>
      </c>
      <c r="BD7" s="13">
        <f t="shared" ref="BD7:BD14" si="2">SUM(E7:BC7)</f>
        <v>3809875.5999999987</v>
      </c>
      <c r="BE7" s="13">
        <f t="shared" ref="BE7:BE14" si="3">SUM(E7:W7)</f>
        <v>2027553.3999999997</v>
      </c>
      <c r="BF7" s="13">
        <f t="shared" ref="BF7:BF14" si="4">SUM(X7:AI7)</f>
        <v>622779.65</v>
      </c>
      <c r="BG7" s="13">
        <f t="shared" ref="BG7:BG14" si="5">SUM(AJ7:BC7)</f>
        <v>1159542.55</v>
      </c>
    </row>
    <row r="8" spans="1:59" x14ac:dyDescent="0.2">
      <c r="C8" s="8">
        <v>301</v>
      </c>
      <c r="D8" s="8" t="s">
        <v>78</v>
      </c>
      <c r="E8" s="13">
        <v>368947.05</v>
      </c>
      <c r="F8" s="13">
        <v>29355</v>
      </c>
      <c r="G8" s="13">
        <v>87403.05</v>
      </c>
      <c r="H8" s="13">
        <v>199240.65</v>
      </c>
      <c r="I8" s="13">
        <v>2207165.79</v>
      </c>
      <c r="J8" s="13">
        <v>2298953.21</v>
      </c>
      <c r="K8" s="13">
        <v>782026.2</v>
      </c>
      <c r="L8" s="13">
        <v>20317382.620000001</v>
      </c>
      <c r="M8" s="13">
        <v>992571.55</v>
      </c>
      <c r="N8" s="13">
        <v>35645.839999999997</v>
      </c>
      <c r="O8" s="13">
        <v>3095053.32</v>
      </c>
      <c r="P8" s="13">
        <v>121660.3</v>
      </c>
      <c r="Q8" s="13">
        <v>48061.599999999999</v>
      </c>
      <c r="R8" s="13">
        <v>178317.8</v>
      </c>
      <c r="S8" s="13">
        <v>96722.85</v>
      </c>
      <c r="T8" s="13">
        <v>221590.55</v>
      </c>
      <c r="U8" s="13">
        <v>83866</v>
      </c>
      <c r="V8" s="13">
        <v>212161.9</v>
      </c>
      <c r="W8" s="13">
        <v>1892352.9</v>
      </c>
      <c r="X8" s="13">
        <v>65419.1</v>
      </c>
      <c r="Y8" s="13">
        <v>1102816.3500000001</v>
      </c>
      <c r="Z8" s="13">
        <v>1546382.91</v>
      </c>
      <c r="AA8" s="13">
        <v>48637.45</v>
      </c>
      <c r="AB8" s="13">
        <v>308674.59999999998</v>
      </c>
      <c r="AC8" s="13">
        <v>405540.65</v>
      </c>
      <c r="AD8" s="13">
        <v>350340.95</v>
      </c>
      <c r="AE8" s="13">
        <v>296643.27</v>
      </c>
      <c r="AF8" s="13">
        <v>775287.25</v>
      </c>
      <c r="AG8" s="13">
        <v>1587020.25</v>
      </c>
      <c r="AH8" s="13">
        <v>70564.850000000006</v>
      </c>
      <c r="AI8" s="13">
        <v>41586.699999999997</v>
      </c>
      <c r="AJ8" s="13">
        <v>558924.67000000004</v>
      </c>
      <c r="AK8" s="13">
        <v>489930.7</v>
      </c>
      <c r="AL8" s="13">
        <v>410505.96</v>
      </c>
      <c r="AM8" s="13">
        <v>34254.559999999998</v>
      </c>
      <c r="AN8" s="13">
        <v>1102480.6000000001</v>
      </c>
      <c r="AO8" s="13">
        <v>775142.88</v>
      </c>
      <c r="AP8" s="13">
        <v>152409.70000000001</v>
      </c>
      <c r="AQ8" s="13">
        <v>1131353.45</v>
      </c>
      <c r="AR8" s="13">
        <v>358780.85</v>
      </c>
      <c r="AS8" s="13">
        <v>442151.5</v>
      </c>
      <c r="AT8" s="13">
        <v>77251.55</v>
      </c>
      <c r="AU8" s="13">
        <v>854269.8</v>
      </c>
      <c r="AV8" s="13">
        <v>378511.41</v>
      </c>
      <c r="AW8" s="13">
        <v>104010.17</v>
      </c>
      <c r="AX8" s="13">
        <v>110735.55</v>
      </c>
      <c r="AY8" s="13">
        <v>684793.8</v>
      </c>
      <c r="AZ8" s="13">
        <v>95027.25</v>
      </c>
      <c r="BA8" s="13">
        <v>1017137.55</v>
      </c>
      <c r="BB8" s="13">
        <v>9060628.4299999997</v>
      </c>
      <c r="BC8" s="13">
        <v>256482.7</v>
      </c>
      <c r="BD8" s="13">
        <f t="shared" si="2"/>
        <v>57962175.590000018</v>
      </c>
      <c r="BE8" s="13">
        <f t="shared" si="3"/>
        <v>33268478.180000003</v>
      </c>
      <c r="BF8" s="13">
        <f t="shared" si="4"/>
        <v>6598914.330000001</v>
      </c>
      <c r="BG8" s="13">
        <f t="shared" si="5"/>
        <v>18094783.079999998</v>
      </c>
    </row>
    <row r="9" spans="1:59"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4670</v>
      </c>
      <c r="AG9" s="13">
        <v>0</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f t="shared" si="2"/>
        <v>4670</v>
      </c>
      <c r="BE9" s="13">
        <f t="shared" si="3"/>
        <v>0</v>
      </c>
      <c r="BF9" s="13">
        <f t="shared" si="4"/>
        <v>4670</v>
      </c>
      <c r="BG9" s="13">
        <f t="shared" si="5"/>
        <v>0</v>
      </c>
    </row>
    <row r="10" spans="1:59" x14ac:dyDescent="0.2">
      <c r="C10" s="8">
        <v>303</v>
      </c>
      <c r="D10" s="8" t="s">
        <v>80</v>
      </c>
      <c r="E10" s="13">
        <v>0</v>
      </c>
      <c r="F10" s="13">
        <v>0</v>
      </c>
      <c r="G10" s="13">
        <v>0</v>
      </c>
      <c r="H10" s="13">
        <v>0</v>
      </c>
      <c r="I10" s="13">
        <v>0</v>
      </c>
      <c r="J10" s="13">
        <v>0</v>
      </c>
      <c r="K10" s="13">
        <v>0</v>
      </c>
      <c r="L10" s="13">
        <v>0</v>
      </c>
      <c r="M10" s="13">
        <v>2197</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2461.1999999999998</v>
      </c>
      <c r="AM10" s="13">
        <v>0</v>
      </c>
      <c r="AN10" s="13">
        <v>0</v>
      </c>
      <c r="AO10" s="13">
        <v>0</v>
      </c>
      <c r="AP10" s="13">
        <v>0</v>
      </c>
      <c r="AQ10" s="13">
        <v>0</v>
      </c>
      <c r="AR10" s="13">
        <v>0</v>
      </c>
      <c r="AS10" s="13">
        <v>0</v>
      </c>
      <c r="AT10" s="13">
        <v>0</v>
      </c>
      <c r="AU10" s="13">
        <v>0</v>
      </c>
      <c r="AV10" s="13">
        <v>180</v>
      </c>
      <c r="AW10" s="13">
        <v>0</v>
      </c>
      <c r="AX10" s="13">
        <v>0</v>
      </c>
      <c r="AY10" s="13">
        <v>0</v>
      </c>
      <c r="AZ10" s="13">
        <v>0</v>
      </c>
      <c r="BA10" s="13">
        <v>0</v>
      </c>
      <c r="BB10" s="13">
        <v>0</v>
      </c>
      <c r="BC10" s="13">
        <v>0</v>
      </c>
      <c r="BD10" s="13">
        <f t="shared" si="2"/>
        <v>4838.2</v>
      </c>
      <c r="BE10" s="13">
        <f t="shared" si="3"/>
        <v>2197</v>
      </c>
      <c r="BF10" s="13">
        <f t="shared" si="4"/>
        <v>0</v>
      </c>
      <c r="BG10" s="13">
        <f t="shared" si="5"/>
        <v>2641.2</v>
      </c>
    </row>
    <row r="11" spans="1:59" x14ac:dyDescent="0.2">
      <c r="C11" s="8">
        <v>304</v>
      </c>
      <c r="D11" s="8" t="s">
        <v>572</v>
      </c>
      <c r="E11" s="13">
        <v>0</v>
      </c>
      <c r="F11" s="13">
        <v>0</v>
      </c>
      <c r="G11" s="13">
        <v>0</v>
      </c>
      <c r="H11" s="13">
        <v>0</v>
      </c>
      <c r="I11" s="13">
        <v>0</v>
      </c>
      <c r="J11" s="13">
        <v>11682.94</v>
      </c>
      <c r="K11" s="13">
        <v>0</v>
      </c>
      <c r="L11" s="13">
        <v>0</v>
      </c>
      <c r="M11" s="13">
        <v>0</v>
      </c>
      <c r="N11" s="13">
        <v>0</v>
      </c>
      <c r="O11" s="13">
        <v>0</v>
      </c>
      <c r="P11" s="13">
        <v>0</v>
      </c>
      <c r="Q11" s="13">
        <v>0</v>
      </c>
      <c r="R11" s="13">
        <v>0</v>
      </c>
      <c r="S11" s="13">
        <v>0</v>
      </c>
      <c r="T11" s="13">
        <v>33.200000000000003</v>
      </c>
      <c r="U11" s="13">
        <v>0</v>
      </c>
      <c r="V11" s="13">
        <v>0</v>
      </c>
      <c r="W11" s="13">
        <v>0</v>
      </c>
      <c r="X11" s="13">
        <v>0</v>
      </c>
      <c r="Y11" s="13">
        <v>0</v>
      </c>
      <c r="Z11" s="13">
        <v>0</v>
      </c>
      <c r="AA11" s="13">
        <v>0</v>
      </c>
      <c r="AB11" s="13">
        <v>0</v>
      </c>
      <c r="AC11" s="13">
        <v>0</v>
      </c>
      <c r="AD11" s="13">
        <v>0</v>
      </c>
      <c r="AE11" s="13">
        <v>0</v>
      </c>
      <c r="AF11" s="13">
        <v>2000</v>
      </c>
      <c r="AG11" s="13">
        <v>19000</v>
      </c>
      <c r="AH11" s="13">
        <v>0</v>
      </c>
      <c r="AI11" s="13">
        <v>0</v>
      </c>
      <c r="AJ11" s="13">
        <v>0</v>
      </c>
      <c r="AK11" s="13">
        <v>0</v>
      </c>
      <c r="AL11" s="13">
        <v>0</v>
      </c>
      <c r="AM11" s="13">
        <v>0</v>
      </c>
      <c r="AN11" s="13">
        <v>0</v>
      </c>
      <c r="AO11" s="13">
        <v>0</v>
      </c>
      <c r="AP11" s="13">
        <v>0</v>
      </c>
      <c r="AQ11" s="13">
        <v>0</v>
      </c>
      <c r="AR11" s="13">
        <v>0</v>
      </c>
      <c r="AS11" s="13">
        <v>1375</v>
      </c>
      <c r="AT11" s="13">
        <v>0</v>
      </c>
      <c r="AU11" s="13">
        <v>0</v>
      </c>
      <c r="AV11" s="13">
        <v>0</v>
      </c>
      <c r="AW11" s="13">
        <v>0</v>
      </c>
      <c r="AX11" s="13">
        <v>0</v>
      </c>
      <c r="AY11" s="13">
        <v>0</v>
      </c>
      <c r="AZ11" s="13">
        <v>0</v>
      </c>
      <c r="BA11" s="13">
        <v>0</v>
      </c>
      <c r="BB11" s="13">
        <v>0</v>
      </c>
      <c r="BC11" s="13">
        <v>0</v>
      </c>
      <c r="BD11" s="13">
        <f t="shared" si="2"/>
        <v>34091.14</v>
      </c>
      <c r="BE11" s="13">
        <f t="shared" si="3"/>
        <v>11716.140000000001</v>
      </c>
      <c r="BF11" s="13">
        <f t="shared" si="4"/>
        <v>21000</v>
      </c>
      <c r="BG11" s="13">
        <f t="shared" si="5"/>
        <v>1375</v>
      </c>
    </row>
    <row r="12" spans="1:59" x14ac:dyDescent="0.2">
      <c r="C12" s="8">
        <v>305</v>
      </c>
      <c r="D12" s="8" t="s">
        <v>81</v>
      </c>
      <c r="E12" s="13">
        <v>66948.5</v>
      </c>
      <c r="F12" s="13">
        <v>3402.65</v>
      </c>
      <c r="G12" s="13">
        <v>15774.35</v>
      </c>
      <c r="H12" s="13">
        <v>41805.35</v>
      </c>
      <c r="I12" s="13">
        <v>511493.85</v>
      </c>
      <c r="J12" s="13">
        <v>545706.30000000005</v>
      </c>
      <c r="K12" s="13">
        <v>197335.4</v>
      </c>
      <c r="L12" s="13">
        <v>4189189.15</v>
      </c>
      <c r="M12" s="13">
        <v>178073.95</v>
      </c>
      <c r="N12" s="13">
        <v>5795.6</v>
      </c>
      <c r="O12" s="13">
        <v>622886.5</v>
      </c>
      <c r="P12" s="13">
        <v>23384.1</v>
      </c>
      <c r="Q12" s="13">
        <v>9133.2000000000007</v>
      </c>
      <c r="R12" s="13">
        <v>34564.35</v>
      </c>
      <c r="S12" s="13">
        <v>21293.35</v>
      </c>
      <c r="T12" s="13">
        <v>41020</v>
      </c>
      <c r="U12" s="13">
        <v>12795.73</v>
      </c>
      <c r="V12" s="13">
        <v>44194.7</v>
      </c>
      <c r="W12" s="13">
        <v>375207.95</v>
      </c>
      <c r="X12" s="13">
        <v>10177.15</v>
      </c>
      <c r="Y12" s="13">
        <v>201580.3</v>
      </c>
      <c r="Z12" s="13">
        <v>292609.84999999998</v>
      </c>
      <c r="AA12" s="13">
        <v>6850.45</v>
      </c>
      <c r="AB12" s="13">
        <v>60870.25</v>
      </c>
      <c r="AC12" s="13">
        <v>76572.100000000006</v>
      </c>
      <c r="AD12" s="13">
        <v>68944.45</v>
      </c>
      <c r="AE12" s="13">
        <v>58821.55</v>
      </c>
      <c r="AF12" s="13">
        <v>169819.45</v>
      </c>
      <c r="AG12" s="13">
        <v>305446.15000000002</v>
      </c>
      <c r="AH12" s="13">
        <v>11748.6</v>
      </c>
      <c r="AI12" s="13">
        <v>8869.75</v>
      </c>
      <c r="AJ12" s="13">
        <v>105532</v>
      </c>
      <c r="AK12" s="13">
        <v>102356.85</v>
      </c>
      <c r="AL12" s="13">
        <v>82979.649999999994</v>
      </c>
      <c r="AM12" s="13">
        <v>12253.16</v>
      </c>
      <c r="AN12" s="13">
        <v>207895.85</v>
      </c>
      <c r="AO12" s="13">
        <v>146273.95000000001</v>
      </c>
      <c r="AP12" s="13">
        <v>36729.5</v>
      </c>
      <c r="AQ12" s="13">
        <v>203946.35</v>
      </c>
      <c r="AR12" s="13">
        <v>73622.5</v>
      </c>
      <c r="AS12" s="13">
        <v>80093.25</v>
      </c>
      <c r="AT12" s="13">
        <v>15677.4</v>
      </c>
      <c r="AU12" s="13">
        <v>197250.95</v>
      </c>
      <c r="AV12" s="13">
        <v>68160.95</v>
      </c>
      <c r="AW12" s="13">
        <v>23156.45</v>
      </c>
      <c r="AX12" s="13">
        <v>22082.1</v>
      </c>
      <c r="AY12" s="13">
        <v>152290.5</v>
      </c>
      <c r="AZ12" s="13">
        <v>20838.3</v>
      </c>
      <c r="BA12" s="13">
        <v>216965.1</v>
      </c>
      <c r="BB12" s="13">
        <v>1976106.8</v>
      </c>
      <c r="BC12" s="13">
        <v>51916.95</v>
      </c>
      <c r="BD12" s="13">
        <f t="shared" si="2"/>
        <v>12008443.589999996</v>
      </c>
      <c r="BE12" s="13">
        <f t="shared" si="3"/>
        <v>6940004.9799999995</v>
      </c>
      <c r="BF12" s="13">
        <f t="shared" si="4"/>
        <v>1272310.0500000003</v>
      </c>
      <c r="BG12" s="13">
        <f t="shared" si="5"/>
        <v>3796128.5600000005</v>
      </c>
    </row>
    <row r="13" spans="1:59" x14ac:dyDescent="0.2">
      <c r="C13" s="8">
        <v>306</v>
      </c>
      <c r="D13" s="8" t="s">
        <v>82</v>
      </c>
      <c r="E13" s="13">
        <v>0</v>
      </c>
      <c r="F13" s="13">
        <v>0</v>
      </c>
      <c r="G13" s="13">
        <v>0</v>
      </c>
      <c r="H13" s="13">
        <v>0</v>
      </c>
      <c r="I13" s="13">
        <v>2458.1</v>
      </c>
      <c r="J13" s="13">
        <v>0</v>
      </c>
      <c r="K13" s="13">
        <v>0</v>
      </c>
      <c r="L13" s="13">
        <v>44464.1</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30000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f t="shared" si="2"/>
        <v>77422.2</v>
      </c>
      <c r="BE13" s="13">
        <f t="shared" si="3"/>
        <v>46922.2</v>
      </c>
      <c r="BF13" s="13">
        <f t="shared" si="4"/>
        <v>30500</v>
      </c>
      <c r="BG13" s="13">
        <f t="shared" si="5"/>
        <v>0</v>
      </c>
    </row>
    <row r="14" spans="1:59" x14ac:dyDescent="0.2">
      <c r="C14" s="8">
        <v>309</v>
      </c>
      <c r="D14" s="8" t="s">
        <v>83</v>
      </c>
      <c r="E14" s="13">
        <v>4143.55</v>
      </c>
      <c r="F14" s="13">
        <v>472.7</v>
      </c>
      <c r="G14" s="13">
        <v>1299</v>
      </c>
      <c r="H14" s="13">
        <v>0</v>
      </c>
      <c r="I14" s="13">
        <v>17588.830000000002</v>
      </c>
      <c r="J14" s="13">
        <v>29057.87</v>
      </c>
      <c r="K14" s="13">
        <v>17846.599999999999</v>
      </c>
      <c r="L14" s="13">
        <v>244825.18</v>
      </c>
      <c r="M14" s="13">
        <v>24614.15</v>
      </c>
      <c r="N14" s="13">
        <v>940</v>
      </c>
      <c r="O14" s="13">
        <v>36873.5</v>
      </c>
      <c r="P14" s="13">
        <v>10482.799999999999</v>
      </c>
      <c r="Q14" s="13">
        <v>1736</v>
      </c>
      <c r="R14" s="13">
        <v>2404.4499999999998</v>
      </c>
      <c r="S14" s="13">
        <v>4021.95</v>
      </c>
      <c r="T14" s="13">
        <v>4978.3999999999996</v>
      </c>
      <c r="U14" s="13">
        <v>6459.4</v>
      </c>
      <c r="V14" s="13">
        <v>4373.55</v>
      </c>
      <c r="W14" s="13">
        <v>27362.7</v>
      </c>
      <c r="X14" s="13">
        <v>2882.7</v>
      </c>
      <c r="Y14" s="13">
        <v>26631.200000000001</v>
      </c>
      <c r="Z14" s="13">
        <v>22658.7</v>
      </c>
      <c r="AA14" s="13">
        <v>0</v>
      </c>
      <c r="AB14" s="13">
        <v>7852.45</v>
      </c>
      <c r="AC14" s="13">
        <v>11118.4</v>
      </c>
      <c r="AD14" s="13">
        <v>5993.3</v>
      </c>
      <c r="AE14" s="13">
        <v>4611.5</v>
      </c>
      <c r="AF14" s="13">
        <v>18725.599999999999</v>
      </c>
      <c r="AG14" s="13">
        <v>16787.599999999999</v>
      </c>
      <c r="AH14" s="13">
        <v>0</v>
      </c>
      <c r="AI14" s="13">
        <v>370.2</v>
      </c>
      <c r="AJ14" s="13">
        <v>7292.1</v>
      </c>
      <c r="AK14" s="13">
        <v>3346</v>
      </c>
      <c r="AL14" s="13">
        <v>11408.4</v>
      </c>
      <c r="AM14" s="13">
        <v>5209.1899999999996</v>
      </c>
      <c r="AN14" s="13">
        <v>19544.349999999999</v>
      </c>
      <c r="AO14" s="13">
        <v>7346.85</v>
      </c>
      <c r="AP14" s="13">
        <v>5312.35</v>
      </c>
      <c r="AQ14" s="13">
        <v>8023.35</v>
      </c>
      <c r="AR14" s="13">
        <v>900.3</v>
      </c>
      <c r="AS14" s="13">
        <v>7291.9</v>
      </c>
      <c r="AT14" s="13">
        <v>2092.9699999999998</v>
      </c>
      <c r="AU14" s="13">
        <v>7874.55</v>
      </c>
      <c r="AV14" s="13">
        <v>12572.55</v>
      </c>
      <c r="AW14" s="13">
        <v>1285.4000000000001</v>
      </c>
      <c r="AX14" s="13">
        <v>1265.25</v>
      </c>
      <c r="AY14" s="13">
        <v>7176.51</v>
      </c>
      <c r="AZ14" s="13">
        <v>5144.3</v>
      </c>
      <c r="BA14" s="13">
        <v>11646.95</v>
      </c>
      <c r="BB14" s="13">
        <v>55522.45</v>
      </c>
      <c r="BC14" s="13">
        <v>0</v>
      </c>
      <c r="BD14" s="13">
        <f t="shared" si="2"/>
        <v>737368</v>
      </c>
      <c r="BE14" s="13">
        <f t="shared" si="3"/>
        <v>439480.63000000006</v>
      </c>
      <c r="BF14" s="13">
        <f t="shared" si="4"/>
        <v>117631.65000000001</v>
      </c>
      <c r="BG14" s="13">
        <f t="shared" si="5"/>
        <v>180255.71999999997</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597375.05000000005</v>
      </c>
      <c r="F16" s="76">
        <f t="shared" ref="F16:BG16" si="6">F17+F18+F19+F20+F21+F22+F23+F24+F25+F26</f>
        <v>201802.98</v>
      </c>
      <c r="G16" s="76">
        <f t="shared" si="6"/>
        <v>171913.55999999997</v>
      </c>
      <c r="H16" s="76">
        <f t="shared" si="6"/>
        <v>537755.79999999993</v>
      </c>
      <c r="I16" s="76">
        <f t="shared" si="6"/>
        <v>4231856.3100000005</v>
      </c>
      <c r="J16" s="76">
        <f t="shared" si="6"/>
        <v>3175860.9299999992</v>
      </c>
      <c r="K16" s="76">
        <f t="shared" si="6"/>
        <v>1846362.1099999999</v>
      </c>
      <c r="L16" s="76">
        <f t="shared" si="6"/>
        <v>37726336.370000005</v>
      </c>
      <c r="M16" s="76">
        <f t="shared" si="6"/>
        <v>2482281.44</v>
      </c>
      <c r="N16" s="76">
        <f t="shared" si="6"/>
        <v>146137.36999999997</v>
      </c>
      <c r="O16" s="76">
        <f t="shared" si="6"/>
        <v>4676095.8199999994</v>
      </c>
      <c r="P16" s="76">
        <f t="shared" si="6"/>
        <v>355868.48</v>
      </c>
      <c r="Q16" s="76">
        <f t="shared" si="6"/>
        <v>63085.299999999988</v>
      </c>
      <c r="R16" s="76">
        <f t="shared" si="6"/>
        <v>268150.38</v>
      </c>
      <c r="S16" s="76">
        <f t="shared" si="6"/>
        <v>330125.55000000005</v>
      </c>
      <c r="T16" s="76">
        <f t="shared" si="6"/>
        <v>987687.93</v>
      </c>
      <c r="U16" s="76">
        <f t="shared" si="6"/>
        <v>227211.72999999998</v>
      </c>
      <c r="V16" s="76">
        <f t="shared" si="6"/>
        <v>511894.79000000004</v>
      </c>
      <c r="W16" s="76">
        <f t="shared" si="6"/>
        <v>1944484.9100000001</v>
      </c>
      <c r="X16" s="76">
        <f t="shared" si="6"/>
        <v>450152.68000000005</v>
      </c>
      <c r="Y16" s="76">
        <f t="shared" si="6"/>
        <v>1322569.1199999999</v>
      </c>
      <c r="Z16" s="76">
        <f t="shared" si="6"/>
        <v>2587484.5500000003</v>
      </c>
      <c r="AA16" s="76">
        <f t="shared" si="6"/>
        <v>201905.41</v>
      </c>
      <c r="AB16" s="76">
        <f t="shared" si="6"/>
        <v>682213.06000000017</v>
      </c>
      <c r="AC16" s="76">
        <f t="shared" si="6"/>
        <v>880760.37</v>
      </c>
      <c r="AD16" s="76">
        <f t="shared" si="6"/>
        <v>645006.85</v>
      </c>
      <c r="AE16" s="76">
        <f t="shared" si="6"/>
        <v>1203098.3399999999</v>
      </c>
      <c r="AF16" s="76">
        <f t="shared" si="6"/>
        <v>2249442.61</v>
      </c>
      <c r="AG16" s="76">
        <f t="shared" si="6"/>
        <v>2853152.99</v>
      </c>
      <c r="AH16" s="76">
        <f t="shared" si="6"/>
        <v>324173.99000000005</v>
      </c>
      <c r="AI16" s="76">
        <f t="shared" si="6"/>
        <v>130944.41</v>
      </c>
      <c r="AJ16" s="76">
        <f t="shared" si="6"/>
        <v>1171439.29</v>
      </c>
      <c r="AK16" s="76">
        <f t="shared" si="6"/>
        <v>1249615.24</v>
      </c>
      <c r="AL16" s="76">
        <f t="shared" si="6"/>
        <v>1218430.22</v>
      </c>
      <c r="AM16" s="76">
        <f t="shared" si="6"/>
        <v>221567.4</v>
      </c>
      <c r="AN16" s="76">
        <f t="shared" si="6"/>
        <v>1669322.6300000001</v>
      </c>
      <c r="AO16" s="76">
        <f t="shared" si="6"/>
        <v>718404.63</v>
      </c>
      <c r="AP16" s="76">
        <f t="shared" si="6"/>
        <v>468990.31999999995</v>
      </c>
      <c r="AQ16" s="76">
        <f t="shared" si="6"/>
        <v>1639578.21</v>
      </c>
      <c r="AR16" s="76">
        <f t="shared" si="6"/>
        <v>649716.13</v>
      </c>
      <c r="AS16" s="76">
        <f t="shared" si="6"/>
        <v>988121.3</v>
      </c>
      <c r="AT16" s="76">
        <f t="shared" si="6"/>
        <v>81966.03</v>
      </c>
      <c r="AU16" s="76">
        <f t="shared" si="6"/>
        <v>1617327.95</v>
      </c>
      <c r="AV16" s="76">
        <f t="shared" si="6"/>
        <v>501920.98</v>
      </c>
      <c r="AW16" s="76">
        <f t="shared" si="6"/>
        <v>305832.90999999997</v>
      </c>
      <c r="AX16" s="76">
        <f t="shared" si="6"/>
        <v>378103.61</v>
      </c>
      <c r="AY16" s="76">
        <f t="shared" si="6"/>
        <v>1241389.77</v>
      </c>
      <c r="AZ16" s="76">
        <f t="shared" si="6"/>
        <v>493194.06000000006</v>
      </c>
      <c r="BA16" s="76">
        <f t="shared" si="6"/>
        <v>1047635.3100000002</v>
      </c>
      <c r="BB16" s="76">
        <f t="shared" si="6"/>
        <v>6710284.5800000001</v>
      </c>
      <c r="BC16" s="76">
        <f t="shared" si="6"/>
        <v>490035.88</v>
      </c>
      <c r="BD16" s="76">
        <f t="shared" si="6"/>
        <v>96876067.639999971</v>
      </c>
      <c r="BE16" s="76">
        <f t="shared" si="6"/>
        <v>60482286.81000001</v>
      </c>
      <c r="BF16" s="76">
        <f t="shared" si="6"/>
        <v>13530904.379999999</v>
      </c>
      <c r="BG16" s="76">
        <f t="shared" si="6"/>
        <v>22862876.450000003</v>
      </c>
    </row>
    <row r="17" spans="2:59" x14ac:dyDescent="0.2">
      <c r="C17" s="8">
        <v>310</v>
      </c>
      <c r="D17" s="8" t="s">
        <v>85</v>
      </c>
      <c r="E17" s="13">
        <v>60361.57</v>
      </c>
      <c r="F17" s="13">
        <v>11406.9</v>
      </c>
      <c r="G17" s="13">
        <v>12809.95</v>
      </c>
      <c r="H17" s="13">
        <v>35774.879999999997</v>
      </c>
      <c r="I17" s="13">
        <v>398834.11</v>
      </c>
      <c r="J17" s="13">
        <v>274980.17</v>
      </c>
      <c r="K17" s="13">
        <v>201622.35</v>
      </c>
      <c r="L17" s="13">
        <v>1975227.37</v>
      </c>
      <c r="M17" s="13">
        <v>187189.36</v>
      </c>
      <c r="N17" s="13">
        <v>4234.6000000000004</v>
      </c>
      <c r="O17" s="13">
        <v>641823.19999999995</v>
      </c>
      <c r="P17" s="13">
        <v>62265.81</v>
      </c>
      <c r="Q17" s="13">
        <v>3544.41</v>
      </c>
      <c r="R17" s="13">
        <v>33026.85</v>
      </c>
      <c r="S17" s="13">
        <v>19024.95</v>
      </c>
      <c r="T17" s="13">
        <v>63301.41</v>
      </c>
      <c r="U17" s="13">
        <v>18704.099999999999</v>
      </c>
      <c r="V17" s="13">
        <v>60043.99</v>
      </c>
      <c r="W17" s="13">
        <v>249334.38</v>
      </c>
      <c r="X17" s="13">
        <v>88132.74</v>
      </c>
      <c r="Y17" s="13">
        <v>144402.20000000001</v>
      </c>
      <c r="Z17" s="13">
        <v>266997.75</v>
      </c>
      <c r="AA17" s="13">
        <v>31983.45</v>
      </c>
      <c r="AB17" s="13">
        <v>88469.9</v>
      </c>
      <c r="AC17" s="13">
        <v>71793.600000000006</v>
      </c>
      <c r="AD17" s="13">
        <v>65908.160000000003</v>
      </c>
      <c r="AE17" s="13">
        <v>110698.8</v>
      </c>
      <c r="AF17" s="13">
        <v>270304.2</v>
      </c>
      <c r="AG17" s="13">
        <v>419381.12</v>
      </c>
      <c r="AH17" s="13">
        <v>17343.310000000001</v>
      </c>
      <c r="AI17" s="13">
        <v>14356.75</v>
      </c>
      <c r="AJ17" s="13">
        <v>255179.95</v>
      </c>
      <c r="AK17" s="13">
        <v>92564.19</v>
      </c>
      <c r="AL17" s="13">
        <v>71243.75</v>
      </c>
      <c r="AM17" s="13">
        <v>16113.77</v>
      </c>
      <c r="AN17" s="13">
        <v>148430.76999999999</v>
      </c>
      <c r="AO17" s="13">
        <v>110120.6</v>
      </c>
      <c r="AP17" s="13">
        <v>16494.099999999999</v>
      </c>
      <c r="AQ17" s="13">
        <v>127117.65</v>
      </c>
      <c r="AR17" s="13">
        <v>76443.55</v>
      </c>
      <c r="AS17" s="13">
        <v>117166.14</v>
      </c>
      <c r="AT17" s="13">
        <v>46995.94</v>
      </c>
      <c r="AU17" s="13">
        <v>265608.15000000002</v>
      </c>
      <c r="AV17" s="13">
        <v>29133.13</v>
      </c>
      <c r="AW17" s="13">
        <v>36203.269999999997</v>
      </c>
      <c r="AX17" s="13">
        <v>26785.77</v>
      </c>
      <c r="AY17" s="13">
        <v>71608.95</v>
      </c>
      <c r="AZ17" s="13">
        <v>19391.400000000001</v>
      </c>
      <c r="BA17" s="13">
        <v>108954.18</v>
      </c>
      <c r="BB17" s="13">
        <v>829023.39</v>
      </c>
      <c r="BC17" s="13">
        <v>66048.75</v>
      </c>
      <c r="BD17" s="13">
        <f t="shared" ref="BD17:BD26" si="7">SUM(E17:BC17)</f>
        <v>8433909.7400000002</v>
      </c>
      <c r="BE17" s="13">
        <f t="shared" ref="BE17:BE26" si="8">SUM(E17:W17)</f>
        <v>4313510.3600000013</v>
      </c>
      <c r="BF17" s="13">
        <f t="shared" ref="BF17:BF26" si="9">SUM(X17:AI17)</f>
        <v>1589771.98</v>
      </c>
      <c r="BG17" s="13">
        <f t="shared" ref="BG17:BG26" si="10">SUM(AJ17:BC17)</f>
        <v>2530627.4</v>
      </c>
    </row>
    <row r="18" spans="2:59" x14ac:dyDescent="0.2">
      <c r="C18" s="8">
        <v>311</v>
      </c>
      <c r="D18" s="8" t="s">
        <v>446</v>
      </c>
      <c r="E18" s="13">
        <v>44414.85</v>
      </c>
      <c r="F18" s="13">
        <v>1823.6</v>
      </c>
      <c r="G18" s="13">
        <v>4750.08</v>
      </c>
      <c r="H18" s="13">
        <v>5345.95</v>
      </c>
      <c r="I18" s="13">
        <v>54216.53</v>
      </c>
      <c r="J18" s="13">
        <v>50458.31</v>
      </c>
      <c r="K18" s="13">
        <v>26250.13</v>
      </c>
      <c r="L18" s="13">
        <v>428532.43</v>
      </c>
      <c r="M18" s="13">
        <v>115005.85</v>
      </c>
      <c r="N18" s="13">
        <v>51359.199999999997</v>
      </c>
      <c r="O18" s="13">
        <v>133236</v>
      </c>
      <c r="P18" s="13">
        <v>33017.300000000003</v>
      </c>
      <c r="Q18" s="13">
        <v>2721</v>
      </c>
      <c r="R18" s="13">
        <v>15130.14</v>
      </c>
      <c r="S18" s="13">
        <v>15480.4</v>
      </c>
      <c r="T18" s="13">
        <v>73316.149999999994</v>
      </c>
      <c r="U18" s="13">
        <v>3646.19</v>
      </c>
      <c r="V18" s="13">
        <v>16125</v>
      </c>
      <c r="W18" s="13">
        <v>72045.789999999994</v>
      </c>
      <c r="X18" s="13">
        <v>6539.2</v>
      </c>
      <c r="Y18" s="13">
        <v>35573.14</v>
      </c>
      <c r="Z18" s="13">
        <v>105010.77</v>
      </c>
      <c r="AA18" s="13">
        <v>0</v>
      </c>
      <c r="AB18" s="13">
        <v>16011.9</v>
      </c>
      <c r="AC18" s="13">
        <v>48832.34</v>
      </c>
      <c r="AD18" s="13">
        <v>18011.349999999999</v>
      </c>
      <c r="AE18" s="13">
        <v>42764.75</v>
      </c>
      <c r="AF18" s="13">
        <v>80680.039999999994</v>
      </c>
      <c r="AG18" s="13">
        <v>13067.8</v>
      </c>
      <c r="AH18" s="13">
        <v>7000</v>
      </c>
      <c r="AI18" s="13">
        <v>802.5</v>
      </c>
      <c r="AJ18" s="13">
        <v>92863.33</v>
      </c>
      <c r="AK18" s="13">
        <v>6774.85</v>
      </c>
      <c r="AL18" s="13">
        <v>40912.199999999997</v>
      </c>
      <c r="AM18" s="13">
        <v>13195.1</v>
      </c>
      <c r="AN18" s="13">
        <v>16725.7</v>
      </c>
      <c r="AO18" s="13">
        <v>30334.47</v>
      </c>
      <c r="AP18" s="13">
        <v>19532.599999999999</v>
      </c>
      <c r="AQ18" s="13">
        <v>45038.62</v>
      </c>
      <c r="AR18" s="13">
        <v>18924</v>
      </c>
      <c r="AS18" s="13">
        <v>77697.460000000006</v>
      </c>
      <c r="AT18" s="13">
        <v>12488.65</v>
      </c>
      <c r="AU18" s="13">
        <v>91367</v>
      </c>
      <c r="AV18" s="13">
        <v>6392.57</v>
      </c>
      <c r="AW18" s="13">
        <v>14562.45</v>
      </c>
      <c r="AX18" s="13">
        <v>4590.7</v>
      </c>
      <c r="AY18" s="13">
        <v>46378.7</v>
      </c>
      <c r="AZ18" s="13">
        <v>17617.2</v>
      </c>
      <c r="BA18" s="13">
        <v>50598.21</v>
      </c>
      <c r="BB18" s="13">
        <v>170758.44</v>
      </c>
      <c r="BC18" s="13">
        <v>35968.75</v>
      </c>
      <c r="BD18" s="13">
        <f t="shared" si="7"/>
        <v>2333889.69</v>
      </c>
      <c r="BE18" s="13">
        <f t="shared" si="8"/>
        <v>1146874.8999999999</v>
      </c>
      <c r="BF18" s="13">
        <f t="shared" si="9"/>
        <v>374293.78999999992</v>
      </c>
      <c r="BG18" s="13">
        <f t="shared" si="10"/>
        <v>812721</v>
      </c>
    </row>
    <row r="19" spans="2:59" x14ac:dyDescent="0.2">
      <c r="C19" s="8">
        <v>312</v>
      </c>
      <c r="D19" s="8" t="s">
        <v>87</v>
      </c>
      <c r="E19" s="13">
        <v>90500.75</v>
      </c>
      <c r="F19" s="13">
        <v>47973.73</v>
      </c>
      <c r="G19" s="13">
        <v>18953.849999999999</v>
      </c>
      <c r="H19" s="13">
        <v>200500.7</v>
      </c>
      <c r="I19" s="13">
        <v>1969498.13</v>
      </c>
      <c r="J19" s="13">
        <v>1653766.42</v>
      </c>
      <c r="K19" s="13">
        <v>434734.89</v>
      </c>
      <c r="L19" s="13">
        <v>28308975.989999998</v>
      </c>
      <c r="M19" s="13">
        <v>1512739.65</v>
      </c>
      <c r="N19" s="13">
        <v>11077.7</v>
      </c>
      <c r="O19" s="13">
        <v>950434.7</v>
      </c>
      <c r="P19" s="13">
        <v>42577.95</v>
      </c>
      <c r="Q19" s="13">
        <v>7527.05</v>
      </c>
      <c r="R19" s="13">
        <v>36467.32</v>
      </c>
      <c r="S19" s="13">
        <v>74079.399999999994</v>
      </c>
      <c r="T19" s="13">
        <v>357696.35</v>
      </c>
      <c r="U19" s="13">
        <v>66328.600000000006</v>
      </c>
      <c r="V19" s="13">
        <v>54302.35</v>
      </c>
      <c r="W19" s="13">
        <v>182763.09</v>
      </c>
      <c r="X19" s="13">
        <v>137920</v>
      </c>
      <c r="Y19" s="13">
        <v>263040.90000000002</v>
      </c>
      <c r="Z19" s="13">
        <v>441435.05</v>
      </c>
      <c r="AA19" s="13">
        <v>38592.5</v>
      </c>
      <c r="AB19" s="13">
        <v>134740.04999999999</v>
      </c>
      <c r="AC19" s="13">
        <v>185676.16</v>
      </c>
      <c r="AD19" s="13">
        <v>208939.45</v>
      </c>
      <c r="AE19" s="13">
        <v>133100.75</v>
      </c>
      <c r="AF19" s="13">
        <v>389158.9</v>
      </c>
      <c r="AG19" s="13">
        <v>660599.85</v>
      </c>
      <c r="AH19" s="13">
        <v>96754.8</v>
      </c>
      <c r="AI19" s="13">
        <v>24167.05</v>
      </c>
      <c r="AJ19" s="13">
        <v>101645.3</v>
      </c>
      <c r="AK19" s="13">
        <v>104547.25</v>
      </c>
      <c r="AL19" s="13">
        <v>261144.1</v>
      </c>
      <c r="AM19" s="13">
        <v>31662.25</v>
      </c>
      <c r="AN19" s="13">
        <v>327840.3</v>
      </c>
      <c r="AO19" s="13">
        <v>221961.8</v>
      </c>
      <c r="AP19" s="13">
        <v>98673</v>
      </c>
      <c r="AQ19" s="13">
        <v>160884.6</v>
      </c>
      <c r="AR19" s="13">
        <v>139006.70000000001</v>
      </c>
      <c r="AS19" s="13">
        <v>158603.9</v>
      </c>
      <c r="AT19" s="13">
        <v>51197</v>
      </c>
      <c r="AU19" s="13">
        <v>338739.73</v>
      </c>
      <c r="AV19" s="13">
        <v>32487.55</v>
      </c>
      <c r="AW19" s="13">
        <v>90381.45</v>
      </c>
      <c r="AX19" s="13">
        <v>96019.05</v>
      </c>
      <c r="AY19" s="13">
        <v>264554.90000000002</v>
      </c>
      <c r="AZ19" s="13">
        <v>64245.3</v>
      </c>
      <c r="BA19" s="13">
        <v>276741.07</v>
      </c>
      <c r="BB19" s="13">
        <v>691185.01</v>
      </c>
      <c r="BC19" s="13">
        <v>27793.599999999999</v>
      </c>
      <c r="BD19" s="13">
        <f t="shared" si="7"/>
        <v>42274337.939999983</v>
      </c>
      <c r="BE19" s="13">
        <f t="shared" si="8"/>
        <v>36020898.620000012</v>
      </c>
      <c r="BF19" s="13">
        <f t="shared" si="9"/>
        <v>2714125.4599999995</v>
      </c>
      <c r="BG19" s="13">
        <f t="shared" si="10"/>
        <v>3539313.86</v>
      </c>
    </row>
    <row r="20" spans="2:59" x14ac:dyDescent="0.2">
      <c r="C20" s="8">
        <v>313</v>
      </c>
      <c r="D20" s="8" t="s">
        <v>88</v>
      </c>
      <c r="E20" s="13">
        <v>167671.21</v>
      </c>
      <c r="F20" s="13">
        <v>88558.12</v>
      </c>
      <c r="G20" s="13">
        <v>95334.29</v>
      </c>
      <c r="H20" s="13">
        <v>124746.73</v>
      </c>
      <c r="I20" s="13">
        <v>791616.41</v>
      </c>
      <c r="J20" s="13">
        <v>706491.81</v>
      </c>
      <c r="K20" s="13">
        <v>405191.88</v>
      </c>
      <c r="L20" s="13">
        <v>3508810.72</v>
      </c>
      <c r="M20" s="13">
        <v>246679.36</v>
      </c>
      <c r="N20" s="13">
        <v>40328.71</v>
      </c>
      <c r="O20" s="13">
        <v>1440977.75</v>
      </c>
      <c r="P20" s="13">
        <v>69473.289999999994</v>
      </c>
      <c r="Q20" s="13">
        <v>34019.25</v>
      </c>
      <c r="R20" s="13">
        <v>82804.23</v>
      </c>
      <c r="S20" s="13">
        <v>136758.21</v>
      </c>
      <c r="T20" s="13">
        <v>180673.27</v>
      </c>
      <c r="U20" s="13">
        <v>80136.160000000003</v>
      </c>
      <c r="V20" s="13">
        <v>256723.92</v>
      </c>
      <c r="W20" s="13">
        <v>631166.76</v>
      </c>
      <c r="X20" s="13">
        <v>124497.2</v>
      </c>
      <c r="Y20" s="13">
        <v>388431.14</v>
      </c>
      <c r="Z20" s="13">
        <v>1122677.82</v>
      </c>
      <c r="AA20" s="13">
        <v>96020.15</v>
      </c>
      <c r="AB20" s="13">
        <v>302139.65000000002</v>
      </c>
      <c r="AC20" s="13">
        <v>294660.19</v>
      </c>
      <c r="AD20" s="13">
        <v>237496.5</v>
      </c>
      <c r="AE20" s="13">
        <v>534075.11</v>
      </c>
      <c r="AF20" s="13">
        <v>726096.97</v>
      </c>
      <c r="AG20" s="13">
        <v>812987.88</v>
      </c>
      <c r="AH20" s="13">
        <v>144315.15</v>
      </c>
      <c r="AI20" s="13">
        <v>44387.87</v>
      </c>
      <c r="AJ20" s="13">
        <v>325083.18</v>
      </c>
      <c r="AK20" s="13">
        <v>565800.46</v>
      </c>
      <c r="AL20" s="13">
        <v>463359.21</v>
      </c>
      <c r="AM20" s="13">
        <v>119648.68</v>
      </c>
      <c r="AN20" s="13">
        <v>356132.62</v>
      </c>
      <c r="AO20" s="13">
        <v>120812.13</v>
      </c>
      <c r="AP20" s="13">
        <v>131104.15</v>
      </c>
      <c r="AQ20" s="13">
        <v>683077.75</v>
      </c>
      <c r="AR20" s="13">
        <v>153386.12</v>
      </c>
      <c r="AS20" s="13">
        <v>403564.48</v>
      </c>
      <c r="AT20" s="13">
        <v>106169.07</v>
      </c>
      <c r="AU20" s="13">
        <v>506743.73</v>
      </c>
      <c r="AV20" s="13">
        <v>239042.48</v>
      </c>
      <c r="AW20" s="13">
        <v>50378.99</v>
      </c>
      <c r="AX20" s="13">
        <v>94321.71</v>
      </c>
      <c r="AY20" s="13">
        <v>491000.81</v>
      </c>
      <c r="AZ20" s="13">
        <v>293980.17</v>
      </c>
      <c r="BA20" s="13">
        <v>318564.09000000003</v>
      </c>
      <c r="BB20" s="13">
        <v>2247797.62</v>
      </c>
      <c r="BC20" s="13">
        <v>128156.74</v>
      </c>
      <c r="BD20" s="13">
        <f t="shared" si="7"/>
        <v>21714071.900000002</v>
      </c>
      <c r="BE20" s="13">
        <f t="shared" si="8"/>
        <v>9088162.0800000001</v>
      </c>
      <c r="BF20" s="13">
        <f t="shared" si="9"/>
        <v>4827785.63</v>
      </c>
      <c r="BG20" s="13">
        <f t="shared" si="10"/>
        <v>7798124.1899999995</v>
      </c>
    </row>
    <row r="21" spans="2:59" x14ac:dyDescent="0.2">
      <c r="C21" s="8">
        <v>314</v>
      </c>
      <c r="D21" s="8" t="s">
        <v>814</v>
      </c>
      <c r="E21" s="13">
        <v>131974.35</v>
      </c>
      <c r="F21" s="13">
        <v>32777.74</v>
      </c>
      <c r="G21" s="13">
        <v>54316.1</v>
      </c>
      <c r="H21" s="13">
        <v>43411.49</v>
      </c>
      <c r="I21" s="13">
        <v>446352.48</v>
      </c>
      <c r="J21" s="13">
        <v>257937.92000000001</v>
      </c>
      <c r="K21" s="13">
        <v>533317.86</v>
      </c>
      <c r="L21" s="13">
        <v>1074125.6599999999</v>
      </c>
      <c r="M21" s="13">
        <v>208615.17</v>
      </c>
      <c r="N21" s="13">
        <v>30246.75</v>
      </c>
      <c r="O21" s="13">
        <v>819147.45</v>
      </c>
      <c r="P21" s="13">
        <v>108075.94</v>
      </c>
      <c r="Q21" s="13">
        <v>10015.049999999999</v>
      </c>
      <c r="R21" s="13">
        <v>44269.7</v>
      </c>
      <c r="S21" s="13">
        <v>36977.31</v>
      </c>
      <c r="T21" s="13">
        <v>206023.4</v>
      </c>
      <c r="U21" s="13">
        <v>48156.35</v>
      </c>
      <c r="V21" s="13">
        <v>56518.400000000001</v>
      </c>
      <c r="W21" s="13">
        <v>376597.89</v>
      </c>
      <c r="X21" s="13">
        <v>45572.65</v>
      </c>
      <c r="Y21" s="13">
        <v>242917.95</v>
      </c>
      <c r="Z21" s="13">
        <v>440838.79</v>
      </c>
      <c r="AA21" s="13">
        <v>13711.6</v>
      </c>
      <c r="AB21" s="13">
        <v>155019.29999999999</v>
      </c>
      <c r="AC21" s="13">
        <v>152825.70000000001</v>
      </c>
      <c r="AD21" s="13">
        <v>55089.85</v>
      </c>
      <c r="AE21" s="13">
        <v>301108.01</v>
      </c>
      <c r="AF21" s="13">
        <v>494031.07</v>
      </c>
      <c r="AG21" s="13">
        <v>569966.51</v>
      </c>
      <c r="AH21" s="13">
        <v>43166.51</v>
      </c>
      <c r="AI21" s="13">
        <v>31912.25</v>
      </c>
      <c r="AJ21" s="13">
        <v>191735.6</v>
      </c>
      <c r="AK21" s="13">
        <v>314483.46000000002</v>
      </c>
      <c r="AL21" s="13">
        <v>217475.7</v>
      </c>
      <c r="AM21" s="13">
        <v>13456.35</v>
      </c>
      <c r="AN21" s="13">
        <v>558779.07999999996</v>
      </c>
      <c r="AO21" s="13">
        <v>100060.05</v>
      </c>
      <c r="AP21" s="13">
        <v>124813.85</v>
      </c>
      <c r="AQ21" s="13">
        <v>342460.35</v>
      </c>
      <c r="AR21" s="13">
        <v>107980.7</v>
      </c>
      <c r="AS21" s="13">
        <v>102863.65</v>
      </c>
      <c r="AT21" s="13">
        <v>31188.75</v>
      </c>
      <c r="AU21" s="13">
        <v>243377.87</v>
      </c>
      <c r="AV21" s="13">
        <v>110967.39</v>
      </c>
      <c r="AW21" s="13">
        <v>78837.25</v>
      </c>
      <c r="AX21" s="13">
        <v>104151.9</v>
      </c>
      <c r="AY21" s="13">
        <v>208545.87</v>
      </c>
      <c r="AZ21" s="13">
        <v>58636.01</v>
      </c>
      <c r="BA21" s="13">
        <v>184839.3</v>
      </c>
      <c r="BB21" s="13">
        <v>1056201.82</v>
      </c>
      <c r="BC21" s="13">
        <v>109995.65</v>
      </c>
      <c r="BD21" s="13">
        <f t="shared" si="7"/>
        <v>11325867.799999999</v>
      </c>
      <c r="BE21" s="13">
        <f t="shared" si="8"/>
        <v>4518857.01</v>
      </c>
      <c r="BF21" s="13">
        <f t="shared" si="9"/>
        <v>2546160.19</v>
      </c>
      <c r="BG21" s="13">
        <f t="shared" si="10"/>
        <v>4260850.6000000006</v>
      </c>
    </row>
    <row r="22" spans="2:59" x14ac:dyDescent="0.2">
      <c r="C22" s="8">
        <v>315</v>
      </c>
      <c r="D22" s="8" t="s">
        <v>89</v>
      </c>
      <c r="E22" s="13">
        <v>55447.55</v>
      </c>
      <c r="F22" s="13">
        <v>12387.1</v>
      </c>
      <c r="G22" s="13">
        <v>7855.25</v>
      </c>
      <c r="H22" s="13">
        <v>19732.400000000001</v>
      </c>
      <c r="I22" s="13">
        <v>184512.49</v>
      </c>
      <c r="J22" s="13">
        <v>22236.400000000001</v>
      </c>
      <c r="K22" s="13">
        <v>84710.82</v>
      </c>
      <c r="L22" s="13">
        <v>962161.68</v>
      </c>
      <c r="M22" s="13">
        <v>87377.38</v>
      </c>
      <c r="N22" s="13">
        <v>6467.55</v>
      </c>
      <c r="O22" s="13">
        <v>297039.75</v>
      </c>
      <c r="P22" s="13">
        <v>18768.849999999999</v>
      </c>
      <c r="Q22" s="13">
        <v>1830.1</v>
      </c>
      <c r="R22" s="13">
        <v>18798.52</v>
      </c>
      <c r="S22" s="13">
        <v>26617.35</v>
      </c>
      <c r="T22" s="13">
        <v>30183.5</v>
      </c>
      <c r="U22" s="13">
        <v>6890.1</v>
      </c>
      <c r="V22" s="13">
        <v>41528.35</v>
      </c>
      <c r="W22" s="13">
        <v>139684.32999999999</v>
      </c>
      <c r="X22" s="13">
        <v>1601.25</v>
      </c>
      <c r="Y22" s="13">
        <v>97205.15</v>
      </c>
      <c r="Z22" s="13">
        <v>65169.1</v>
      </c>
      <c r="AA22" s="13">
        <v>7893.1</v>
      </c>
      <c r="AB22" s="13">
        <v>32739</v>
      </c>
      <c r="AC22" s="13">
        <v>57617</v>
      </c>
      <c r="AD22" s="13">
        <v>40417.050000000003</v>
      </c>
      <c r="AE22" s="13">
        <v>18324.400000000001</v>
      </c>
      <c r="AF22" s="13">
        <v>157029.37</v>
      </c>
      <c r="AG22" s="13">
        <v>45248.9</v>
      </c>
      <c r="AH22" s="13">
        <v>10081.879999999999</v>
      </c>
      <c r="AI22" s="13">
        <v>7498.9</v>
      </c>
      <c r="AJ22" s="13">
        <v>24813.81</v>
      </c>
      <c r="AK22" s="13">
        <v>95602.82</v>
      </c>
      <c r="AL22" s="13">
        <v>57479.69</v>
      </c>
      <c r="AM22" s="13">
        <v>1593.1</v>
      </c>
      <c r="AN22" s="13">
        <v>94580</v>
      </c>
      <c r="AO22" s="13">
        <v>47964.05</v>
      </c>
      <c r="AP22" s="13">
        <v>36167.15</v>
      </c>
      <c r="AQ22" s="13">
        <v>96852.95</v>
      </c>
      <c r="AR22" s="13">
        <v>42775.45</v>
      </c>
      <c r="AS22" s="13">
        <v>65533.05</v>
      </c>
      <c r="AT22" s="13">
        <v>6946.85</v>
      </c>
      <c r="AU22" s="13">
        <v>62451.26</v>
      </c>
      <c r="AV22" s="13">
        <v>43084.4</v>
      </c>
      <c r="AW22" s="13">
        <v>27136.95</v>
      </c>
      <c r="AX22" s="13">
        <v>22191.599999999999</v>
      </c>
      <c r="AY22" s="13">
        <v>42835.55</v>
      </c>
      <c r="AZ22" s="13">
        <v>15712.45</v>
      </c>
      <c r="BA22" s="13">
        <v>57818.63</v>
      </c>
      <c r="BB22" s="13">
        <v>444509.37</v>
      </c>
      <c r="BC22" s="13">
        <v>32357.9</v>
      </c>
      <c r="BD22" s="13">
        <f t="shared" si="7"/>
        <v>3883461.6000000006</v>
      </c>
      <c r="BE22" s="13">
        <f t="shared" si="8"/>
        <v>2024229.4700000009</v>
      </c>
      <c r="BF22" s="13">
        <f t="shared" si="9"/>
        <v>540825.1</v>
      </c>
      <c r="BG22" s="13">
        <f t="shared" si="10"/>
        <v>1318407.0299999998</v>
      </c>
    </row>
    <row r="23" spans="2:59" x14ac:dyDescent="0.2">
      <c r="C23" s="8">
        <v>316</v>
      </c>
      <c r="D23" s="8" t="s">
        <v>90</v>
      </c>
      <c r="E23" s="13">
        <v>3877.2</v>
      </c>
      <c r="F23" s="13">
        <v>3256.45</v>
      </c>
      <c r="G23" s="13">
        <v>710.9</v>
      </c>
      <c r="H23" s="13">
        <v>86238.2</v>
      </c>
      <c r="I23" s="13">
        <v>38996.449999999997</v>
      </c>
      <c r="J23" s="13">
        <v>34737.050000000003</v>
      </c>
      <c r="K23" s="13">
        <v>43011.75</v>
      </c>
      <c r="L23" s="13">
        <v>773693.2</v>
      </c>
      <c r="M23" s="13">
        <v>27390.2</v>
      </c>
      <c r="N23" s="13">
        <v>1200</v>
      </c>
      <c r="O23" s="13">
        <v>112829.5</v>
      </c>
      <c r="P23" s="13">
        <v>21.75</v>
      </c>
      <c r="Q23" s="13">
        <v>850</v>
      </c>
      <c r="R23" s="13">
        <v>0</v>
      </c>
      <c r="S23" s="13">
        <v>0</v>
      </c>
      <c r="T23" s="13">
        <v>538.5</v>
      </c>
      <c r="U23" s="13">
        <v>0</v>
      </c>
      <c r="V23" s="13">
        <v>4800</v>
      </c>
      <c r="W23" s="13">
        <v>127359.7</v>
      </c>
      <c r="X23" s="13">
        <v>20392.14</v>
      </c>
      <c r="Y23" s="13">
        <v>33855.449999999997</v>
      </c>
      <c r="Z23" s="13">
        <v>38380</v>
      </c>
      <c r="AA23" s="13">
        <v>2415.5</v>
      </c>
      <c r="AB23" s="13">
        <v>1160</v>
      </c>
      <c r="AC23" s="13">
        <v>38305.800000000003</v>
      </c>
      <c r="AD23" s="13">
        <v>4674.45</v>
      </c>
      <c r="AE23" s="13">
        <v>0</v>
      </c>
      <c r="AF23" s="13">
        <v>7822.35</v>
      </c>
      <c r="AG23" s="13">
        <v>204642.71</v>
      </c>
      <c r="AH23" s="13">
        <v>2100</v>
      </c>
      <c r="AI23" s="13">
        <v>0</v>
      </c>
      <c r="AJ23" s="13">
        <v>0</v>
      </c>
      <c r="AK23" s="13">
        <v>6301.75</v>
      </c>
      <c r="AL23" s="13">
        <v>16446.650000000001</v>
      </c>
      <c r="AM23" s="13">
        <v>0</v>
      </c>
      <c r="AN23" s="13">
        <v>36000</v>
      </c>
      <c r="AO23" s="13">
        <v>38416.35</v>
      </c>
      <c r="AP23" s="13">
        <v>20000</v>
      </c>
      <c r="AQ23" s="13">
        <v>87441.4</v>
      </c>
      <c r="AR23" s="13">
        <v>24150.95</v>
      </c>
      <c r="AS23" s="13">
        <v>0</v>
      </c>
      <c r="AT23" s="13">
        <v>0</v>
      </c>
      <c r="AU23" s="13">
        <v>23303.3</v>
      </c>
      <c r="AV23" s="13">
        <v>19056.7</v>
      </c>
      <c r="AW23" s="13">
        <v>0</v>
      </c>
      <c r="AX23" s="13">
        <v>3684.4</v>
      </c>
      <c r="AY23" s="13">
        <v>34977.449999999997</v>
      </c>
      <c r="AZ23" s="13">
        <v>0</v>
      </c>
      <c r="BA23" s="13">
        <v>5508</v>
      </c>
      <c r="BB23" s="13">
        <v>713335.88</v>
      </c>
      <c r="BC23" s="13">
        <v>600</v>
      </c>
      <c r="BD23" s="13">
        <f t="shared" si="7"/>
        <v>2642482.0799999996</v>
      </c>
      <c r="BE23" s="13">
        <f t="shared" si="8"/>
        <v>1259510.8499999999</v>
      </c>
      <c r="BF23" s="13">
        <f t="shared" si="9"/>
        <v>353748.4</v>
      </c>
      <c r="BG23" s="13">
        <f t="shared" si="10"/>
        <v>1029222.8300000001</v>
      </c>
    </row>
    <row r="24" spans="2:59" x14ac:dyDescent="0.2">
      <c r="C24" s="8">
        <v>317</v>
      </c>
      <c r="D24" s="8" t="s">
        <v>91</v>
      </c>
      <c r="E24" s="13">
        <v>20034.3</v>
      </c>
      <c r="F24" s="13">
        <v>3238.4</v>
      </c>
      <c r="G24" s="13">
        <v>872.55</v>
      </c>
      <c r="H24" s="13">
        <v>7029.85</v>
      </c>
      <c r="I24" s="13">
        <v>75651.55</v>
      </c>
      <c r="J24" s="13">
        <v>50748.52</v>
      </c>
      <c r="K24" s="13">
        <v>24418</v>
      </c>
      <c r="L24" s="13">
        <v>74308.240000000005</v>
      </c>
      <c r="M24" s="13">
        <v>18626.45</v>
      </c>
      <c r="N24" s="13">
        <v>291</v>
      </c>
      <c r="O24" s="13">
        <v>62560</v>
      </c>
      <c r="P24" s="13">
        <v>3459</v>
      </c>
      <c r="Q24" s="13">
        <v>337</v>
      </c>
      <c r="R24" s="13">
        <v>3491.85</v>
      </c>
      <c r="S24" s="13">
        <v>7484.25</v>
      </c>
      <c r="T24" s="13">
        <v>57798.8</v>
      </c>
      <c r="U24" s="13">
        <v>982.8</v>
      </c>
      <c r="V24" s="13">
        <v>2850.7</v>
      </c>
      <c r="W24" s="13">
        <v>43411.25</v>
      </c>
      <c r="X24" s="13">
        <v>6389.2</v>
      </c>
      <c r="Y24" s="13">
        <v>32092.799999999999</v>
      </c>
      <c r="Z24" s="13">
        <v>54654.6</v>
      </c>
      <c r="AA24" s="13">
        <v>764.5</v>
      </c>
      <c r="AB24" s="13">
        <v>4626.8</v>
      </c>
      <c r="AC24" s="13">
        <v>5190.7</v>
      </c>
      <c r="AD24" s="13">
        <v>5018.1499999999996</v>
      </c>
      <c r="AE24" s="13">
        <v>18.95</v>
      </c>
      <c r="AF24" s="13">
        <v>24130.3</v>
      </c>
      <c r="AG24" s="13">
        <v>35776</v>
      </c>
      <c r="AH24" s="13">
        <v>1470.4</v>
      </c>
      <c r="AI24" s="13">
        <v>1964.4</v>
      </c>
      <c r="AJ24" s="13">
        <v>31141.53</v>
      </c>
      <c r="AK24" s="13">
        <v>13951.6</v>
      </c>
      <c r="AL24" s="13">
        <v>25139.35</v>
      </c>
      <c r="AM24" s="13">
        <v>151.75</v>
      </c>
      <c r="AN24" s="13">
        <v>31787.8</v>
      </c>
      <c r="AO24" s="13">
        <v>2653.45</v>
      </c>
      <c r="AP24" s="13">
        <v>1109.5</v>
      </c>
      <c r="AQ24" s="13">
        <v>21681.05</v>
      </c>
      <c r="AR24" s="13">
        <v>9818.1</v>
      </c>
      <c r="AS24" s="13">
        <v>11722.35</v>
      </c>
      <c r="AT24" s="13">
        <v>1883.5</v>
      </c>
      <c r="AU24" s="13">
        <v>57556.15</v>
      </c>
      <c r="AV24" s="13">
        <v>3568.1</v>
      </c>
      <c r="AW24" s="13">
        <v>541.29999999999995</v>
      </c>
      <c r="AX24" s="13">
        <v>3577.35</v>
      </c>
      <c r="AY24" s="13">
        <v>22956.95</v>
      </c>
      <c r="AZ24" s="13">
        <v>3194.65</v>
      </c>
      <c r="BA24" s="13">
        <v>20784.900000000001</v>
      </c>
      <c r="BB24" s="13">
        <v>64809.46</v>
      </c>
      <c r="BC24" s="13">
        <v>5876.85</v>
      </c>
      <c r="BD24" s="13">
        <f t="shared" si="7"/>
        <v>963597</v>
      </c>
      <c r="BE24" s="13">
        <f t="shared" si="8"/>
        <v>457594.50999999995</v>
      </c>
      <c r="BF24" s="13">
        <f t="shared" si="9"/>
        <v>172096.8</v>
      </c>
      <c r="BG24" s="13">
        <f t="shared" si="10"/>
        <v>333905.69</v>
      </c>
    </row>
    <row r="25" spans="2:59" x14ac:dyDescent="0.2">
      <c r="C25" s="8">
        <v>318</v>
      </c>
      <c r="D25" s="8" t="s">
        <v>92</v>
      </c>
      <c r="E25" s="13">
        <v>21664.77</v>
      </c>
      <c r="F25" s="13">
        <v>280.94</v>
      </c>
      <c r="G25" s="13">
        <v>-28380.41</v>
      </c>
      <c r="H25" s="13">
        <v>9932.25</v>
      </c>
      <c r="I25" s="13">
        <v>236894.2</v>
      </c>
      <c r="J25" s="13">
        <v>97571.78</v>
      </c>
      <c r="K25" s="13">
        <v>72987.14</v>
      </c>
      <c r="L25" s="13">
        <v>467592.63</v>
      </c>
      <c r="M25" s="13">
        <v>21419.07</v>
      </c>
      <c r="N25" s="13">
        <v>31.86</v>
      </c>
      <c r="O25" s="13">
        <v>198835.27</v>
      </c>
      <c r="P25" s="13">
        <v>17120.59</v>
      </c>
      <c r="Q25" s="13">
        <v>3.34</v>
      </c>
      <c r="R25" s="13">
        <v>34161.769999999997</v>
      </c>
      <c r="S25" s="13">
        <v>12251.28</v>
      </c>
      <c r="T25" s="13">
        <v>15858.65</v>
      </c>
      <c r="U25" s="13">
        <v>479.68</v>
      </c>
      <c r="V25" s="13">
        <v>17378.080000000002</v>
      </c>
      <c r="W25" s="13">
        <v>117433.52</v>
      </c>
      <c r="X25" s="13">
        <v>16533.3</v>
      </c>
      <c r="Y25" s="13">
        <v>64181.14</v>
      </c>
      <c r="Z25" s="13">
        <v>35046.07</v>
      </c>
      <c r="AA25" s="13">
        <v>1823.41</v>
      </c>
      <c r="AB25" s="13">
        <v>-54875.09</v>
      </c>
      <c r="AC25" s="13">
        <v>9273.68</v>
      </c>
      <c r="AD25" s="13">
        <v>7475.09</v>
      </c>
      <c r="AE25" s="13">
        <v>62202.97</v>
      </c>
      <c r="AF25" s="13">
        <v>67276.710000000006</v>
      </c>
      <c r="AG25" s="13">
        <v>78566.62</v>
      </c>
      <c r="AH25" s="13">
        <v>166.19</v>
      </c>
      <c r="AI25" s="13">
        <v>3416.99</v>
      </c>
      <c r="AJ25" s="13">
        <v>137412.39000000001</v>
      </c>
      <c r="AK25" s="13">
        <v>32400.16</v>
      </c>
      <c r="AL25" s="13">
        <v>65229.57</v>
      </c>
      <c r="AM25" s="13">
        <v>25746.400000000001</v>
      </c>
      <c r="AN25" s="13">
        <v>78032.36</v>
      </c>
      <c r="AO25" s="13">
        <v>44995.58</v>
      </c>
      <c r="AP25" s="13">
        <v>19629.169999999998</v>
      </c>
      <c r="AQ25" s="13">
        <v>52949.59</v>
      </c>
      <c r="AR25" s="13">
        <v>34217.410000000003</v>
      </c>
      <c r="AS25" s="13">
        <v>46353.120000000003</v>
      </c>
      <c r="AT25" s="13">
        <v>-178887.98</v>
      </c>
      <c r="AU25" s="13">
        <v>7180.76</v>
      </c>
      <c r="AV25" s="13">
        <v>14633.62</v>
      </c>
      <c r="AW25" s="13">
        <v>6639.25</v>
      </c>
      <c r="AX25" s="13">
        <v>22781.13</v>
      </c>
      <c r="AY25" s="13">
        <v>55051.59</v>
      </c>
      <c r="AZ25" s="13">
        <v>20416.88</v>
      </c>
      <c r="BA25" s="13">
        <v>13064.78</v>
      </c>
      <c r="BB25" s="13">
        <v>328199.05</v>
      </c>
      <c r="BC25" s="13">
        <v>78797.19</v>
      </c>
      <c r="BD25" s="13">
        <f t="shared" si="7"/>
        <v>2509445.5099999993</v>
      </c>
      <c r="BE25" s="13">
        <f t="shared" si="8"/>
        <v>1313516.4100000001</v>
      </c>
      <c r="BF25" s="13">
        <f t="shared" si="9"/>
        <v>291087.08</v>
      </c>
      <c r="BG25" s="13">
        <f t="shared" si="10"/>
        <v>904842.02</v>
      </c>
    </row>
    <row r="26" spans="2:59" x14ac:dyDescent="0.2">
      <c r="C26" s="8">
        <v>319</v>
      </c>
      <c r="D26" s="8" t="s">
        <v>93</v>
      </c>
      <c r="E26" s="13">
        <v>1428.5</v>
      </c>
      <c r="F26" s="13">
        <v>100</v>
      </c>
      <c r="G26" s="13">
        <v>4691</v>
      </c>
      <c r="H26" s="13">
        <v>5043.3500000000004</v>
      </c>
      <c r="I26" s="13">
        <v>35283.96</v>
      </c>
      <c r="J26" s="13">
        <v>26932.55</v>
      </c>
      <c r="K26" s="13">
        <v>20117.29</v>
      </c>
      <c r="L26" s="13">
        <v>152908.45000000001</v>
      </c>
      <c r="M26" s="13">
        <v>57238.95</v>
      </c>
      <c r="N26" s="13">
        <v>900</v>
      </c>
      <c r="O26" s="13">
        <v>19212.2</v>
      </c>
      <c r="P26" s="13">
        <v>1088</v>
      </c>
      <c r="Q26" s="13">
        <v>2238.1</v>
      </c>
      <c r="R26" s="13">
        <v>0</v>
      </c>
      <c r="S26" s="13">
        <v>1452.4</v>
      </c>
      <c r="T26" s="13">
        <v>2297.9</v>
      </c>
      <c r="U26" s="13">
        <v>1887.75</v>
      </c>
      <c r="V26" s="13">
        <v>1624</v>
      </c>
      <c r="W26" s="13">
        <v>4688.2</v>
      </c>
      <c r="X26" s="13">
        <v>2575</v>
      </c>
      <c r="Y26" s="13">
        <v>20869.25</v>
      </c>
      <c r="Z26" s="13">
        <v>17274.599999999999</v>
      </c>
      <c r="AA26" s="13">
        <v>8701.2000000000007</v>
      </c>
      <c r="AB26" s="13">
        <v>2181.5500000000002</v>
      </c>
      <c r="AC26" s="13">
        <v>16585.2</v>
      </c>
      <c r="AD26" s="13">
        <v>1976.8</v>
      </c>
      <c r="AE26" s="13">
        <v>804.6</v>
      </c>
      <c r="AF26" s="13">
        <v>32912.699999999997</v>
      </c>
      <c r="AG26" s="13">
        <v>12915.6</v>
      </c>
      <c r="AH26" s="13">
        <v>1775.75</v>
      </c>
      <c r="AI26" s="13">
        <v>2437.6999999999998</v>
      </c>
      <c r="AJ26" s="13">
        <v>11564.2</v>
      </c>
      <c r="AK26" s="13">
        <v>17188.7</v>
      </c>
      <c r="AL26" s="13">
        <v>0</v>
      </c>
      <c r="AM26" s="13">
        <v>0</v>
      </c>
      <c r="AN26" s="13">
        <v>21014</v>
      </c>
      <c r="AO26" s="13">
        <v>1086.1500000000001</v>
      </c>
      <c r="AP26" s="13">
        <v>1466.8</v>
      </c>
      <c r="AQ26" s="13">
        <v>22074.25</v>
      </c>
      <c r="AR26" s="13">
        <v>43013.15</v>
      </c>
      <c r="AS26" s="13">
        <v>4617.1499999999996</v>
      </c>
      <c r="AT26" s="13">
        <v>3984.25</v>
      </c>
      <c r="AU26" s="13">
        <v>21000</v>
      </c>
      <c r="AV26" s="13">
        <v>3555.04</v>
      </c>
      <c r="AW26" s="13">
        <v>1152</v>
      </c>
      <c r="AX26" s="13">
        <v>0</v>
      </c>
      <c r="AY26" s="13">
        <v>3479</v>
      </c>
      <c r="AZ26" s="13">
        <v>0</v>
      </c>
      <c r="BA26" s="13">
        <v>10762.15</v>
      </c>
      <c r="BB26" s="13">
        <v>164464.54</v>
      </c>
      <c r="BC26" s="13">
        <v>4440.45</v>
      </c>
      <c r="BD26" s="13">
        <f t="shared" si="7"/>
        <v>795004.38000000012</v>
      </c>
      <c r="BE26" s="13">
        <f t="shared" si="8"/>
        <v>339132.60000000003</v>
      </c>
      <c r="BF26" s="13">
        <f t="shared" si="9"/>
        <v>121009.95000000001</v>
      </c>
      <c r="BG26" s="13">
        <f t="shared" si="10"/>
        <v>334861.83</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271969.69</v>
      </c>
      <c r="F28" s="76">
        <f t="shared" ref="F28:BG28" si="11">F29+F30</f>
        <v>89135</v>
      </c>
      <c r="G28" s="76">
        <f t="shared" si="11"/>
        <v>78515.149999999994</v>
      </c>
      <c r="H28" s="76">
        <f t="shared" si="11"/>
        <v>135852.9</v>
      </c>
      <c r="I28" s="76">
        <f t="shared" si="11"/>
        <v>1007048.9</v>
      </c>
      <c r="J28" s="76">
        <f t="shared" si="11"/>
        <v>1027120.2799999999</v>
      </c>
      <c r="K28" s="76">
        <f t="shared" si="11"/>
        <v>584488.29999999993</v>
      </c>
      <c r="L28" s="76">
        <f t="shared" si="11"/>
        <v>6377739.1200000001</v>
      </c>
      <c r="M28" s="76">
        <f t="shared" si="11"/>
        <v>408424.05</v>
      </c>
      <c r="N28" s="76">
        <f t="shared" si="11"/>
        <v>61045.22</v>
      </c>
      <c r="O28" s="76">
        <f t="shared" si="11"/>
        <v>1500455.25</v>
      </c>
      <c r="P28" s="76">
        <f t="shared" si="11"/>
        <v>128942.3</v>
      </c>
      <c r="Q28" s="76">
        <f t="shared" si="11"/>
        <v>15734</v>
      </c>
      <c r="R28" s="76">
        <f t="shared" si="11"/>
        <v>66919.41</v>
      </c>
      <c r="S28" s="76">
        <f t="shared" si="11"/>
        <v>76090.75</v>
      </c>
      <c r="T28" s="76">
        <f t="shared" si="11"/>
        <v>141025.94</v>
      </c>
      <c r="U28" s="76">
        <f t="shared" si="11"/>
        <v>40503.31</v>
      </c>
      <c r="V28" s="76">
        <f t="shared" si="11"/>
        <v>131731.53</v>
      </c>
      <c r="W28" s="76">
        <f t="shared" si="11"/>
        <v>967493.06</v>
      </c>
      <c r="X28" s="76">
        <f t="shared" si="11"/>
        <v>82974</v>
      </c>
      <c r="Y28" s="76">
        <f t="shared" si="11"/>
        <v>313279.90000000002</v>
      </c>
      <c r="Z28" s="76">
        <f t="shared" si="11"/>
        <v>511059.05</v>
      </c>
      <c r="AA28" s="76">
        <f t="shared" si="11"/>
        <v>13768.27</v>
      </c>
      <c r="AB28" s="76">
        <f t="shared" si="11"/>
        <v>101265.76999999999</v>
      </c>
      <c r="AC28" s="76">
        <f t="shared" si="11"/>
        <v>343843.12</v>
      </c>
      <c r="AD28" s="76">
        <f t="shared" si="11"/>
        <v>163879</v>
      </c>
      <c r="AE28" s="76">
        <f t="shared" si="11"/>
        <v>106426.61</v>
      </c>
      <c r="AF28" s="76">
        <f t="shared" si="11"/>
        <v>510622.45</v>
      </c>
      <c r="AG28" s="76">
        <f t="shared" si="11"/>
        <v>851938.85</v>
      </c>
      <c r="AH28" s="76">
        <f t="shared" si="11"/>
        <v>71808.899999999994</v>
      </c>
      <c r="AI28" s="76">
        <f t="shared" si="11"/>
        <v>15168.64</v>
      </c>
      <c r="AJ28" s="76">
        <f t="shared" si="11"/>
        <v>438356.4</v>
      </c>
      <c r="AK28" s="76">
        <f t="shared" si="11"/>
        <v>353864.8</v>
      </c>
      <c r="AL28" s="76">
        <f t="shared" si="11"/>
        <v>303565</v>
      </c>
      <c r="AM28" s="76">
        <f t="shared" si="11"/>
        <v>42916</v>
      </c>
      <c r="AN28" s="76">
        <f t="shared" si="11"/>
        <v>643825.06999999995</v>
      </c>
      <c r="AO28" s="76">
        <f t="shared" si="11"/>
        <v>109400</v>
      </c>
      <c r="AP28" s="76">
        <f t="shared" si="11"/>
        <v>446741.61</v>
      </c>
      <c r="AQ28" s="76">
        <f t="shared" si="11"/>
        <v>211824.45</v>
      </c>
      <c r="AR28" s="76">
        <f t="shared" si="11"/>
        <v>155650</v>
      </c>
      <c r="AS28" s="76">
        <f t="shared" si="11"/>
        <v>254126</v>
      </c>
      <c r="AT28" s="76">
        <f t="shared" si="11"/>
        <v>70603.75</v>
      </c>
      <c r="AU28" s="76">
        <f t="shared" si="11"/>
        <v>748621.20000000007</v>
      </c>
      <c r="AV28" s="76">
        <f t="shared" si="11"/>
        <v>118961.96</v>
      </c>
      <c r="AW28" s="76">
        <f t="shared" si="11"/>
        <v>78732.3</v>
      </c>
      <c r="AX28" s="76">
        <f t="shared" si="11"/>
        <v>172965</v>
      </c>
      <c r="AY28" s="76">
        <f t="shared" si="11"/>
        <v>576965.05000000005</v>
      </c>
      <c r="AZ28" s="76">
        <f t="shared" si="11"/>
        <v>99864.95</v>
      </c>
      <c r="BA28" s="76">
        <f t="shared" si="11"/>
        <v>435547.35000000003</v>
      </c>
      <c r="BB28" s="76">
        <f t="shared" si="11"/>
        <v>3232513.1399999997</v>
      </c>
      <c r="BC28" s="76">
        <f t="shared" si="11"/>
        <v>92300</v>
      </c>
      <c r="BD28" s="76">
        <f t="shared" si="11"/>
        <v>24783612.750000004</v>
      </c>
      <c r="BE28" s="76">
        <f t="shared" si="11"/>
        <v>13110234.160000004</v>
      </c>
      <c r="BF28" s="76">
        <f t="shared" si="11"/>
        <v>3086034.5600000005</v>
      </c>
      <c r="BG28" s="76">
        <f t="shared" si="11"/>
        <v>8587344.0299999993</v>
      </c>
    </row>
    <row r="29" spans="2:59" x14ac:dyDescent="0.2">
      <c r="C29" s="8">
        <v>330</v>
      </c>
      <c r="D29" s="8" t="s">
        <v>96</v>
      </c>
      <c r="E29" s="13">
        <v>271969.69</v>
      </c>
      <c r="F29" s="13">
        <v>76855</v>
      </c>
      <c r="G29" s="13">
        <v>76768.649999999994</v>
      </c>
      <c r="H29" s="13">
        <v>135852.9</v>
      </c>
      <c r="I29" s="13">
        <v>1007048.9</v>
      </c>
      <c r="J29" s="13">
        <v>1000141.09</v>
      </c>
      <c r="K29" s="13">
        <v>582500.6</v>
      </c>
      <c r="L29" s="13">
        <v>6260685.75</v>
      </c>
      <c r="M29" s="13">
        <v>396594.05</v>
      </c>
      <c r="N29" s="13">
        <v>61045.22</v>
      </c>
      <c r="O29" s="13">
        <v>1436879.05</v>
      </c>
      <c r="P29" s="13">
        <v>128942.3</v>
      </c>
      <c r="Q29" s="13">
        <v>15734</v>
      </c>
      <c r="R29" s="13">
        <v>66919.41</v>
      </c>
      <c r="S29" s="13">
        <v>76090.75</v>
      </c>
      <c r="T29" s="13">
        <v>135383.76</v>
      </c>
      <c r="U29" s="13">
        <v>40503.31</v>
      </c>
      <c r="V29" s="13">
        <v>111778.78</v>
      </c>
      <c r="W29" s="13">
        <v>936877.39</v>
      </c>
      <c r="X29" s="13">
        <v>78474</v>
      </c>
      <c r="Y29" s="13">
        <v>312679.90000000002</v>
      </c>
      <c r="Z29" s="13">
        <v>511059.05</v>
      </c>
      <c r="AA29" s="13">
        <v>13768.27</v>
      </c>
      <c r="AB29" s="13">
        <v>91291.65</v>
      </c>
      <c r="AC29" s="13">
        <v>343843.12</v>
      </c>
      <c r="AD29" s="13">
        <v>163879</v>
      </c>
      <c r="AE29" s="13">
        <v>106426.61</v>
      </c>
      <c r="AF29" s="13">
        <v>510622.45</v>
      </c>
      <c r="AG29" s="13">
        <v>806595.85</v>
      </c>
      <c r="AH29" s="13">
        <v>66058.899999999994</v>
      </c>
      <c r="AI29" s="13">
        <v>15168.64</v>
      </c>
      <c r="AJ29" s="13">
        <v>438356.4</v>
      </c>
      <c r="AK29" s="13">
        <v>353864.8</v>
      </c>
      <c r="AL29" s="13">
        <v>283815</v>
      </c>
      <c r="AM29" s="13">
        <v>42916</v>
      </c>
      <c r="AN29" s="13">
        <v>633425.06999999995</v>
      </c>
      <c r="AO29" s="13">
        <v>109400</v>
      </c>
      <c r="AP29" s="13">
        <v>446741.61</v>
      </c>
      <c r="AQ29" s="13">
        <v>176374.45</v>
      </c>
      <c r="AR29" s="13">
        <v>155650</v>
      </c>
      <c r="AS29" s="13">
        <v>253126</v>
      </c>
      <c r="AT29" s="13">
        <v>68380</v>
      </c>
      <c r="AU29" s="13">
        <v>725074.05</v>
      </c>
      <c r="AV29" s="13">
        <v>118961.96</v>
      </c>
      <c r="AW29" s="13">
        <v>78732.3</v>
      </c>
      <c r="AX29" s="13">
        <v>171465</v>
      </c>
      <c r="AY29" s="13">
        <v>533515.05000000005</v>
      </c>
      <c r="AZ29" s="13">
        <v>98904.95</v>
      </c>
      <c r="BA29" s="13">
        <v>385062.9</v>
      </c>
      <c r="BB29" s="13">
        <v>3118294.05</v>
      </c>
      <c r="BC29" s="13">
        <v>92300</v>
      </c>
      <c r="BD29" s="13">
        <f>SUM(E29:BC29)</f>
        <v>24122797.630000003</v>
      </c>
      <c r="BE29" s="13">
        <f>SUM(E29:W29)</f>
        <v>12818570.600000003</v>
      </c>
      <c r="BF29" s="13">
        <f>SUM(X29:AI29)</f>
        <v>3019867.4400000004</v>
      </c>
      <c r="BG29" s="13">
        <f>SUM(AJ29:BC29)</f>
        <v>8284359.5899999999</v>
      </c>
    </row>
    <row r="30" spans="2:59" x14ac:dyDescent="0.2">
      <c r="C30" s="8">
        <v>332</v>
      </c>
      <c r="D30" s="8" t="s">
        <v>95</v>
      </c>
      <c r="E30" s="13">
        <v>0</v>
      </c>
      <c r="F30" s="13">
        <v>12280</v>
      </c>
      <c r="G30" s="13">
        <v>1746.5</v>
      </c>
      <c r="H30" s="13">
        <v>0</v>
      </c>
      <c r="I30" s="13">
        <v>0</v>
      </c>
      <c r="J30" s="13">
        <v>26979.19</v>
      </c>
      <c r="K30" s="13">
        <v>1987.7</v>
      </c>
      <c r="L30" s="13">
        <v>117053.37</v>
      </c>
      <c r="M30" s="13">
        <v>11830</v>
      </c>
      <c r="N30" s="13">
        <v>0</v>
      </c>
      <c r="O30" s="13">
        <v>63576.2</v>
      </c>
      <c r="P30" s="13">
        <v>0</v>
      </c>
      <c r="Q30" s="13">
        <v>0</v>
      </c>
      <c r="R30" s="13">
        <v>0</v>
      </c>
      <c r="S30" s="13">
        <v>0</v>
      </c>
      <c r="T30" s="13">
        <v>5642.18</v>
      </c>
      <c r="U30" s="13">
        <v>0</v>
      </c>
      <c r="V30" s="13">
        <v>19952.75</v>
      </c>
      <c r="W30" s="13">
        <v>30615.67</v>
      </c>
      <c r="X30" s="13">
        <v>4500</v>
      </c>
      <c r="Y30" s="13">
        <v>600</v>
      </c>
      <c r="Z30" s="13">
        <v>0</v>
      </c>
      <c r="AA30" s="13">
        <v>0</v>
      </c>
      <c r="AB30" s="13">
        <v>9974.1200000000008</v>
      </c>
      <c r="AC30" s="13">
        <v>0</v>
      </c>
      <c r="AD30" s="13">
        <v>0</v>
      </c>
      <c r="AE30" s="13">
        <v>0</v>
      </c>
      <c r="AF30" s="13">
        <v>0</v>
      </c>
      <c r="AG30" s="13">
        <v>45343</v>
      </c>
      <c r="AH30" s="13">
        <v>5750</v>
      </c>
      <c r="AI30" s="13">
        <v>0</v>
      </c>
      <c r="AJ30" s="13">
        <v>0</v>
      </c>
      <c r="AK30" s="13">
        <v>0</v>
      </c>
      <c r="AL30" s="13">
        <v>19750</v>
      </c>
      <c r="AM30" s="13">
        <v>0</v>
      </c>
      <c r="AN30" s="13">
        <v>10400</v>
      </c>
      <c r="AO30" s="13">
        <v>0</v>
      </c>
      <c r="AP30" s="13">
        <v>0</v>
      </c>
      <c r="AQ30" s="13">
        <v>35450</v>
      </c>
      <c r="AR30" s="13">
        <v>0</v>
      </c>
      <c r="AS30" s="13">
        <v>1000</v>
      </c>
      <c r="AT30" s="13">
        <v>2223.75</v>
      </c>
      <c r="AU30" s="13">
        <v>23547.15</v>
      </c>
      <c r="AV30" s="13">
        <v>0</v>
      </c>
      <c r="AW30" s="13">
        <v>0</v>
      </c>
      <c r="AX30" s="13">
        <v>1500</v>
      </c>
      <c r="AY30" s="13">
        <v>43450</v>
      </c>
      <c r="AZ30" s="13">
        <v>960</v>
      </c>
      <c r="BA30" s="13">
        <v>50484.45</v>
      </c>
      <c r="BB30" s="13">
        <v>114219.09</v>
      </c>
      <c r="BC30" s="13">
        <v>0</v>
      </c>
      <c r="BD30" s="13">
        <f>SUM(E30:BC30)</f>
        <v>660815.12</v>
      </c>
      <c r="BE30" s="13">
        <f>SUM(E30:W30)</f>
        <v>291663.56</v>
      </c>
      <c r="BF30" s="13">
        <f>SUM(X30:AI30)</f>
        <v>66167.12</v>
      </c>
      <c r="BG30" s="13">
        <f>SUM(AJ30:BC30)</f>
        <v>302984.43999999994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156645.15</v>
      </c>
      <c r="F32" s="76">
        <f t="shared" ref="F32:BG32" si="12">F33+F34+F35+F36+F37+F38</f>
        <v>41407.5</v>
      </c>
      <c r="G32" s="76">
        <f t="shared" si="12"/>
        <v>71642.899999999994</v>
      </c>
      <c r="H32" s="76">
        <f t="shared" si="12"/>
        <v>75086.97</v>
      </c>
      <c r="I32" s="76">
        <f t="shared" si="12"/>
        <v>465914.24</v>
      </c>
      <c r="J32" s="76">
        <f t="shared" si="12"/>
        <v>363924.84</v>
      </c>
      <c r="K32" s="76">
        <f t="shared" si="12"/>
        <v>225427.17</v>
      </c>
      <c r="L32" s="76">
        <f t="shared" si="12"/>
        <v>3137578.96</v>
      </c>
      <c r="M32" s="76">
        <f t="shared" si="12"/>
        <v>71454.469999999987</v>
      </c>
      <c r="N32" s="76">
        <f t="shared" si="12"/>
        <v>6710.34</v>
      </c>
      <c r="O32" s="76">
        <f t="shared" si="12"/>
        <v>522748.54000000004</v>
      </c>
      <c r="P32" s="76">
        <f t="shared" si="12"/>
        <v>45785.06</v>
      </c>
      <c r="Q32" s="76">
        <f t="shared" si="12"/>
        <v>10831.4</v>
      </c>
      <c r="R32" s="76">
        <f t="shared" si="12"/>
        <v>32937.9</v>
      </c>
      <c r="S32" s="76">
        <f t="shared" si="12"/>
        <v>68693.420000000013</v>
      </c>
      <c r="T32" s="76">
        <f t="shared" si="12"/>
        <v>79640.849999999991</v>
      </c>
      <c r="U32" s="76">
        <f t="shared" si="12"/>
        <v>26601.370000000003</v>
      </c>
      <c r="V32" s="76">
        <f t="shared" si="12"/>
        <v>43079.06</v>
      </c>
      <c r="W32" s="76">
        <f t="shared" si="12"/>
        <v>225667.03000000003</v>
      </c>
      <c r="X32" s="76">
        <f t="shared" si="12"/>
        <v>7580.37</v>
      </c>
      <c r="Y32" s="76">
        <f t="shared" si="12"/>
        <v>136098.04999999999</v>
      </c>
      <c r="Z32" s="76">
        <f t="shared" si="12"/>
        <v>19209.949999999997</v>
      </c>
      <c r="AA32" s="76">
        <f t="shared" si="12"/>
        <v>16817.96</v>
      </c>
      <c r="AB32" s="76">
        <f t="shared" si="12"/>
        <v>77250.570000000007</v>
      </c>
      <c r="AC32" s="76">
        <f t="shared" si="12"/>
        <v>72852</v>
      </c>
      <c r="AD32" s="76">
        <f t="shared" si="12"/>
        <v>45431.34</v>
      </c>
      <c r="AE32" s="76">
        <f t="shared" si="12"/>
        <v>53681.71</v>
      </c>
      <c r="AF32" s="76">
        <f t="shared" si="12"/>
        <v>217881.93</v>
      </c>
      <c r="AG32" s="76">
        <f t="shared" si="12"/>
        <v>161021.28</v>
      </c>
      <c r="AH32" s="76">
        <f t="shared" si="12"/>
        <v>20659.689999999999</v>
      </c>
      <c r="AI32" s="76">
        <f t="shared" si="12"/>
        <v>23787.26</v>
      </c>
      <c r="AJ32" s="76">
        <f t="shared" si="12"/>
        <v>193072.96000000002</v>
      </c>
      <c r="AK32" s="76">
        <f t="shared" si="12"/>
        <v>182401.51</v>
      </c>
      <c r="AL32" s="76">
        <f t="shared" si="12"/>
        <v>165140.11999999997</v>
      </c>
      <c r="AM32" s="76">
        <f t="shared" si="12"/>
        <v>20139.04</v>
      </c>
      <c r="AN32" s="76">
        <f t="shared" si="12"/>
        <v>210422.44</v>
      </c>
      <c r="AO32" s="76">
        <f t="shared" si="12"/>
        <v>104632.8</v>
      </c>
      <c r="AP32" s="76">
        <f t="shared" si="12"/>
        <v>79824.19</v>
      </c>
      <c r="AQ32" s="76">
        <f t="shared" si="12"/>
        <v>253951.61</v>
      </c>
      <c r="AR32" s="76">
        <f t="shared" si="12"/>
        <v>71889.08</v>
      </c>
      <c r="AS32" s="76">
        <f t="shared" si="12"/>
        <v>153944.44</v>
      </c>
      <c r="AT32" s="76">
        <f t="shared" si="12"/>
        <v>21291.29</v>
      </c>
      <c r="AU32" s="76">
        <f t="shared" si="12"/>
        <v>221196.53</v>
      </c>
      <c r="AV32" s="76">
        <f t="shared" si="12"/>
        <v>75014.080000000002</v>
      </c>
      <c r="AW32" s="76">
        <f t="shared" si="12"/>
        <v>10117.4</v>
      </c>
      <c r="AX32" s="76">
        <f t="shared" si="12"/>
        <v>16170.03</v>
      </c>
      <c r="AY32" s="76">
        <f t="shared" si="12"/>
        <v>302800.28999999998</v>
      </c>
      <c r="AZ32" s="76">
        <f t="shared" si="12"/>
        <v>48153.61</v>
      </c>
      <c r="BA32" s="76">
        <f t="shared" si="12"/>
        <v>154613.01999999999</v>
      </c>
      <c r="BB32" s="76">
        <f t="shared" si="12"/>
        <v>1219904.48</v>
      </c>
      <c r="BC32" s="76">
        <f t="shared" si="12"/>
        <v>69127.08</v>
      </c>
      <c r="BD32" s="76">
        <f t="shared" si="12"/>
        <v>10097855.279999999</v>
      </c>
      <c r="BE32" s="76">
        <f t="shared" si="12"/>
        <v>5671777.169999999</v>
      </c>
      <c r="BF32" s="76">
        <f t="shared" si="12"/>
        <v>852272.11</v>
      </c>
      <c r="BG32" s="76">
        <f t="shared" si="12"/>
        <v>3573806</v>
      </c>
    </row>
    <row r="33" spans="2:59" x14ac:dyDescent="0.2">
      <c r="C33" s="8">
        <v>340</v>
      </c>
      <c r="D33" s="8" t="s">
        <v>98</v>
      </c>
      <c r="E33" s="13">
        <v>156645.15</v>
      </c>
      <c r="F33" s="13">
        <v>30817.39</v>
      </c>
      <c r="G33" s="13">
        <v>53361.35</v>
      </c>
      <c r="H33" s="13">
        <v>60888.62</v>
      </c>
      <c r="I33" s="13">
        <v>296135.36</v>
      </c>
      <c r="J33" s="13">
        <v>322862.84000000003</v>
      </c>
      <c r="K33" s="13">
        <v>155775.39000000001</v>
      </c>
      <c r="L33" s="13">
        <v>2529551.12</v>
      </c>
      <c r="M33" s="13">
        <v>56437.21</v>
      </c>
      <c r="N33" s="13">
        <v>6710.34</v>
      </c>
      <c r="O33" s="13">
        <v>450297.84</v>
      </c>
      <c r="P33" s="13">
        <v>38594.86</v>
      </c>
      <c r="Q33" s="13">
        <v>8899.5</v>
      </c>
      <c r="R33" s="13">
        <v>21426.75</v>
      </c>
      <c r="S33" s="13">
        <v>66129.070000000007</v>
      </c>
      <c r="T33" s="13">
        <v>41844.199999999997</v>
      </c>
      <c r="U33" s="13">
        <v>16995.22</v>
      </c>
      <c r="V33" s="13">
        <v>34228.76</v>
      </c>
      <c r="W33" s="13">
        <v>196047.92</v>
      </c>
      <c r="X33" s="13">
        <v>4762.57</v>
      </c>
      <c r="Y33" s="13">
        <v>135578.04999999999</v>
      </c>
      <c r="Z33" s="13">
        <v>9613.4</v>
      </c>
      <c r="AA33" s="13">
        <v>4805.45</v>
      </c>
      <c r="AB33" s="13">
        <v>62402.87</v>
      </c>
      <c r="AC33" s="13">
        <v>69810.149999999994</v>
      </c>
      <c r="AD33" s="13">
        <v>45431.34</v>
      </c>
      <c r="AE33" s="13">
        <v>7765.71</v>
      </c>
      <c r="AF33" s="13">
        <v>42075.34</v>
      </c>
      <c r="AG33" s="13">
        <v>139010.32999999999</v>
      </c>
      <c r="AH33" s="13">
        <v>18355.89</v>
      </c>
      <c r="AI33" s="13">
        <v>4428.46</v>
      </c>
      <c r="AJ33" s="13">
        <v>178839.76</v>
      </c>
      <c r="AK33" s="13">
        <v>124437.21</v>
      </c>
      <c r="AL33" s="13">
        <v>133165.51999999999</v>
      </c>
      <c r="AM33" s="13">
        <v>19222.490000000002</v>
      </c>
      <c r="AN33" s="13">
        <v>89524.44</v>
      </c>
      <c r="AO33" s="13">
        <v>86450.95</v>
      </c>
      <c r="AP33" s="13">
        <v>79824.19</v>
      </c>
      <c r="AQ33" s="13">
        <v>89935.81</v>
      </c>
      <c r="AR33" s="13">
        <v>65076.03</v>
      </c>
      <c r="AS33" s="13">
        <v>104750.79</v>
      </c>
      <c r="AT33" s="13">
        <v>21291.29</v>
      </c>
      <c r="AU33" s="13">
        <v>221196.53</v>
      </c>
      <c r="AV33" s="13">
        <v>61086.18</v>
      </c>
      <c r="AW33" s="13">
        <v>7983.25</v>
      </c>
      <c r="AX33" s="13">
        <v>16170.03</v>
      </c>
      <c r="AY33" s="13">
        <v>301713.03999999998</v>
      </c>
      <c r="AZ33" s="13">
        <v>46856.61</v>
      </c>
      <c r="BA33" s="13">
        <v>121337.51</v>
      </c>
      <c r="BB33" s="13">
        <v>882629.73</v>
      </c>
      <c r="BC33" s="13">
        <v>45684.08</v>
      </c>
      <c r="BD33" s="13">
        <f t="shared" ref="BD33:BD38" si="13">SUM(E33:BC33)</f>
        <v>7784863.8900000006</v>
      </c>
      <c r="BE33" s="13">
        <f t="shared" ref="BE33:BE38" si="14">SUM(E33:W33)</f>
        <v>4543648.8899999997</v>
      </c>
      <c r="BF33" s="13">
        <f t="shared" ref="BF33:BF38" si="15">SUM(X33:AI33)</f>
        <v>544039.55999999994</v>
      </c>
      <c r="BG33" s="13">
        <f t="shared" ref="BG33:BG38" si="16">SUM(AJ33:BC33)</f>
        <v>2697175.4400000004</v>
      </c>
    </row>
    <row r="34" spans="2:5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14990.66</v>
      </c>
      <c r="X34" s="13">
        <v>0</v>
      </c>
      <c r="Y34" s="13">
        <v>0</v>
      </c>
      <c r="Z34" s="13">
        <v>0</v>
      </c>
      <c r="AA34" s="13">
        <v>0</v>
      </c>
      <c r="AB34" s="13">
        <v>0</v>
      </c>
      <c r="AC34" s="13">
        <v>0</v>
      </c>
      <c r="AD34" s="13">
        <v>0</v>
      </c>
      <c r="AE34" s="13">
        <v>0</v>
      </c>
      <c r="AF34" s="13">
        <v>0</v>
      </c>
      <c r="AG34" s="13">
        <v>0</v>
      </c>
      <c r="AH34" s="13">
        <v>2000</v>
      </c>
      <c r="AI34" s="13">
        <v>0</v>
      </c>
      <c r="AJ34" s="13">
        <v>0</v>
      </c>
      <c r="AK34" s="13">
        <v>1230.3</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42039.5</v>
      </c>
      <c r="BC34" s="13">
        <v>0</v>
      </c>
      <c r="BD34" s="13">
        <f t="shared" si="13"/>
        <v>60260.46</v>
      </c>
      <c r="BE34" s="13">
        <f t="shared" si="14"/>
        <v>14990.66</v>
      </c>
      <c r="BF34" s="13">
        <f t="shared" si="15"/>
        <v>2000</v>
      </c>
      <c r="BG34" s="13">
        <f t="shared" si="16"/>
        <v>43269.8</v>
      </c>
    </row>
    <row r="35" spans="2:5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8850.2999999999993</v>
      </c>
      <c r="W35" s="13">
        <v>37.35</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f t="shared" si="13"/>
        <v>8887.65</v>
      </c>
      <c r="BE35" s="13">
        <f t="shared" si="14"/>
        <v>8887.65</v>
      </c>
      <c r="BF35" s="13">
        <f t="shared" si="15"/>
        <v>0</v>
      </c>
      <c r="BG35" s="13">
        <f t="shared" si="16"/>
        <v>0</v>
      </c>
    </row>
    <row r="36" spans="2:59" x14ac:dyDescent="0.2">
      <c r="C36" s="8">
        <v>343</v>
      </c>
      <c r="D36" s="8" t="s">
        <v>101</v>
      </c>
      <c r="E36" s="13">
        <v>0</v>
      </c>
      <c r="F36" s="13">
        <v>10589.81</v>
      </c>
      <c r="G36" s="13">
        <v>18281.55</v>
      </c>
      <c r="H36" s="13">
        <v>14198.35</v>
      </c>
      <c r="I36" s="13">
        <v>169602.88</v>
      </c>
      <c r="J36" s="13">
        <v>41052</v>
      </c>
      <c r="K36" s="13">
        <v>62999.23</v>
      </c>
      <c r="L36" s="13">
        <v>608027.84</v>
      </c>
      <c r="M36" s="13">
        <v>15007</v>
      </c>
      <c r="N36" s="13">
        <v>0</v>
      </c>
      <c r="O36" s="13">
        <v>70987.7</v>
      </c>
      <c r="P36" s="13">
        <v>7190.2</v>
      </c>
      <c r="Q36" s="13">
        <v>1926.9</v>
      </c>
      <c r="R36" s="13">
        <v>11511.15</v>
      </c>
      <c r="S36" s="13">
        <v>2564.35</v>
      </c>
      <c r="T36" s="13">
        <v>36164.1</v>
      </c>
      <c r="U36" s="13">
        <v>9606.15</v>
      </c>
      <c r="V36" s="13">
        <v>0</v>
      </c>
      <c r="W36" s="13">
        <v>14496.1</v>
      </c>
      <c r="X36" s="13">
        <v>0</v>
      </c>
      <c r="Y36" s="13">
        <v>0</v>
      </c>
      <c r="Z36" s="13">
        <v>9596.5499999999993</v>
      </c>
      <c r="AA36" s="13">
        <v>10605.8</v>
      </c>
      <c r="AB36" s="13">
        <v>14847.7</v>
      </c>
      <c r="AC36" s="13">
        <v>3036.85</v>
      </c>
      <c r="AD36" s="13">
        <v>0</v>
      </c>
      <c r="AE36" s="13">
        <v>45896.5</v>
      </c>
      <c r="AF36" s="13">
        <v>22709.9</v>
      </c>
      <c r="AG36" s="13">
        <v>22010.95</v>
      </c>
      <c r="AH36" s="13">
        <v>303.8</v>
      </c>
      <c r="AI36" s="13">
        <v>19058.8</v>
      </c>
      <c r="AJ36" s="13">
        <v>14233.2</v>
      </c>
      <c r="AK36" s="13">
        <v>48750.7</v>
      </c>
      <c r="AL36" s="13">
        <v>31813.05</v>
      </c>
      <c r="AM36" s="13">
        <v>0</v>
      </c>
      <c r="AN36" s="13">
        <v>120898</v>
      </c>
      <c r="AO36" s="13">
        <v>14314.85</v>
      </c>
      <c r="AP36" s="13">
        <v>0</v>
      </c>
      <c r="AQ36" s="13">
        <v>164015.79999999999</v>
      </c>
      <c r="AR36" s="13">
        <v>4788.25</v>
      </c>
      <c r="AS36" s="13">
        <v>49193.65</v>
      </c>
      <c r="AT36" s="13">
        <v>0</v>
      </c>
      <c r="AU36" s="13">
        <v>0</v>
      </c>
      <c r="AV36" s="13">
        <v>13909.35</v>
      </c>
      <c r="AW36" s="13">
        <v>469.55</v>
      </c>
      <c r="AX36" s="13">
        <v>0</v>
      </c>
      <c r="AY36" s="13">
        <v>962.25</v>
      </c>
      <c r="AZ36" s="13">
        <v>1297</v>
      </c>
      <c r="BA36" s="13">
        <v>33140.51</v>
      </c>
      <c r="BB36" s="13">
        <v>295235.25</v>
      </c>
      <c r="BC36" s="13">
        <v>20752.25</v>
      </c>
      <c r="BD36" s="13">
        <f t="shared" si="13"/>
        <v>2056045.82</v>
      </c>
      <c r="BE36" s="13">
        <f t="shared" si="14"/>
        <v>1094205.3099999998</v>
      </c>
      <c r="BF36" s="13">
        <f t="shared" si="15"/>
        <v>148066.84999999998</v>
      </c>
      <c r="BG36" s="13">
        <f t="shared" si="16"/>
        <v>813773.65999999992</v>
      </c>
    </row>
    <row r="37" spans="2:59" x14ac:dyDescent="0.2">
      <c r="C37" s="8">
        <v>344</v>
      </c>
      <c r="D37" s="8" t="s">
        <v>102</v>
      </c>
      <c r="E37" s="13">
        <v>0</v>
      </c>
      <c r="F37" s="13">
        <v>0</v>
      </c>
      <c r="G37" s="13">
        <v>0</v>
      </c>
      <c r="H37" s="13">
        <v>0</v>
      </c>
      <c r="I37" s="13">
        <v>176</v>
      </c>
      <c r="J37" s="13">
        <v>10</v>
      </c>
      <c r="K37" s="13">
        <v>6652.55</v>
      </c>
      <c r="L37" s="13">
        <v>0</v>
      </c>
      <c r="M37" s="13">
        <v>10</v>
      </c>
      <c r="N37" s="13">
        <v>0</v>
      </c>
      <c r="O37" s="13">
        <v>1463</v>
      </c>
      <c r="P37" s="13">
        <v>0</v>
      </c>
      <c r="Q37" s="13">
        <v>5</v>
      </c>
      <c r="R37" s="13">
        <v>0</v>
      </c>
      <c r="S37" s="13">
        <v>0</v>
      </c>
      <c r="T37" s="13">
        <v>1632.55</v>
      </c>
      <c r="U37" s="13">
        <v>0</v>
      </c>
      <c r="V37" s="13">
        <v>0</v>
      </c>
      <c r="W37" s="13">
        <v>0</v>
      </c>
      <c r="X37" s="13">
        <v>0</v>
      </c>
      <c r="Y37" s="13">
        <v>520</v>
      </c>
      <c r="Z37" s="13">
        <v>0</v>
      </c>
      <c r="AA37" s="13">
        <v>0</v>
      </c>
      <c r="AB37" s="13">
        <v>0</v>
      </c>
      <c r="AC37" s="13">
        <v>5</v>
      </c>
      <c r="AD37" s="13">
        <v>0</v>
      </c>
      <c r="AE37" s="13">
        <v>0</v>
      </c>
      <c r="AF37" s="13">
        <v>153087.04999999999</v>
      </c>
      <c r="AG37" s="13">
        <v>0</v>
      </c>
      <c r="AH37" s="13">
        <v>0</v>
      </c>
      <c r="AI37" s="13">
        <v>300</v>
      </c>
      <c r="AJ37" s="13">
        <v>0</v>
      </c>
      <c r="AK37" s="13">
        <v>0</v>
      </c>
      <c r="AL37" s="13">
        <v>161.55000000000001</v>
      </c>
      <c r="AM37" s="13">
        <v>0</v>
      </c>
      <c r="AN37" s="13">
        <v>0</v>
      </c>
      <c r="AO37" s="13">
        <v>0</v>
      </c>
      <c r="AP37" s="13">
        <v>0</v>
      </c>
      <c r="AQ37" s="13">
        <v>0</v>
      </c>
      <c r="AR37" s="13">
        <v>0</v>
      </c>
      <c r="AS37" s="13">
        <v>0</v>
      </c>
      <c r="AT37" s="13">
        <v>0</v>
      </c>
      <c r="AU37" s="13">
        <v>0</v>
      </c>
      <c r="AV37" s="13">
        <v>0</v>
      </c>
      <c r="AW37" s="13">
        <v>0</v>
      </c>
      <c r="AX37" s="13">
        <v>0</v>
      </c>
      <c r="AY37" s="13">
        <v>125</v>
      </c>
      <c r="AZ37" s="13">
        <v>0</v>
      </c>
      <c r="BA37" s="13">
        <v>135</v>
      </c>
      <c r="BB37" s="13">
        <v>0</v>
      </c>
      <c r="BC37" s="13">
        <v>0</v>
      </c>
      <c r="BD37" s="13">
        <f t="shared" si="13"/>
        <v>164282.69999999998</v>
      </c>
      <c r="BE37" s="13">
        <f t="shared" si="14"/>
        <v>9949.0999999999985</v>
      </c>
      <c r="BF37" s="13">
        <f t="shared" si="15"/>
        <v>153912.04999999999</v>
      </c>
      <c r="BG37" s="13">
        <f t="shared" si="16"/>
        <v>421.55</v>
      </c>
    </row>
    <row r="38" spans="2:59" x14ac:dyDescent="0.2">
      <c r="C38" s="8">
        <v>349</v>
      </c>
      <c r="D38" s="8" t="s">
        <v>103</v>
      </c>
      <c r="E38" s="13">
        <v>0</v>
      </c>
      <c r="F38" s="13">
        <v>0.3</v>
      </c>
      <c r="G38" s="13">
        <v>0</v>
      </c>
      <c r="H38" s="13">
        <v>0</v>
      </c>
      <c r="I38" s="13">
        <v>0</v>
      </c>
      <c r="J38" s="13">
        <v>0</v>
      </c>
      <c r="K38" s="13">
        <v>0</v>
      </c>
      <c r="L38" s="13">
        <v>0</v>
      </c>
      <c r="M38" s="13">
        <v>0.26</v>
      </c>
      <c r="N38" s="13">
        <v>0</v>
      </c>
      <c r="O38" s="13">
        <v>0</v>
      </c>
      <c r="P38" s="13">
        <v>0</v>
      </c>
      <c r="Q38" s="13">
        <v>0</v>
      </c>
      <c r="R38" s="13">
        <v>0</v>
      </c>
      <c r="S38" s="13">
        <v>0</v>
      </c>
      <c r="T38" s="13">
        <v>0</v>
      </c>
      <c r="U38" s="13">
        <v>0</v>
      </c>
      <c r="V38" s="13">
        <v>0</v>
      </c>
      <c r="W38" s="13">
        <v>95</v>
      </c>
      <c r="X38" s="13">
        <v>2817.8</v>
      </c>
      <c r="Y38" s="13">
        <v>0</v>
      </c>
      <c r="Z38" s="13">
        <v>0</v>
      </c>
      <c r="AA38" s="13">
        <v>1406.71</v>
      </c>
      <c r="AB38" s="13">
        <v>0</v>
      </c>
      <c r="AC38" s="13">
        <v>0</v>
      </c>
      <c r="AD38" s="13">
        <v>0</v>
      </c>
      <c r="AE38" s="13">
        <v>19.5</v>
      </c>
      <c r="AF38" s="13">
        <v>9.64</v>
      </c>
      <c r="AG38" s="13">
        <v>0</v>
      </c>
      <c r="AH38" s="13">
        <v>0</v>
      </c>
      <c r="AI38" s="13">
        <v>0</v>
      </c>
      <c r="AJ38" s="13">
        <v>0</v>
      </c>
      <c r="AK38" s="13">
        <v>7983.3</v>
      </c>
      <c r="AL38" s="13">
        <v>0</v>
      </c>
      <c r="AM38" s="13">
        <v>916.55</v>
      </c>
      <c r="AN38" s="13">
        <v>0</v>
      </c>
      <c r="AO38" s="13">
        <v>3867</v>
      </c>
      <c r="AP38" s="13">
        <v>0</v>
      </c>
      <c r="AQ38" s="13">
        <v>0</v>
      </c>
      <c r="AR38" s="13">
        <v>2024.8</v>
      </c>
      <c r="AS38" s="13">
        <v>0</v>
      </c>
      <c r="AT38" s="13">
        <v>0</v>
      </c>
      <c r="AU38" s="13">
        <v>0</v>
      </c>
      <c r="AV38" s="13">
        <v>18.55</v>
      </c>
      <c r="AW38" s="13">
        <v>1664.6</v>
      </c>
      <c r="AX38" s="13">
        <v>0</v>
      </c>
      <c r="AY38" s="13">
        <v>0</v>
      </c>
      <c r="AZ38" s="13">
        <v>0</v>
      </c>
      <c r="BA38" s="13">
        <v>0</v>
      </c>
      <c r="BB38" s="13">
        <v>0</v>
      </c>
      <c r="BC38" s="13">
        <v>2690.75</v>
      </c>
      <c r="BD38" s="13">
        <f t="shared" si="13"/>
        <v>23514.759999999995</v>
      </c>
      <c r="BE38" s="13">
        <f t="shared" si="14"/>
        <v>95.56</v>
      </c>
      <c r="BF38" s="13">
        <f t="shared" si="15"/>
        <v>4253.6500000000005</v>
      </c>
      <c r="BG38" s="13">
        <f t="shared" si="16"/>
        <v>19165.55</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9169.5499999999993</v>
      </c>
      <c r="F40" s="76">
        <f t="shared" ref="F40:BG40" si="17">F41+F42</f>
        <v>18787.240000000002</v>
      </c>
      <c r="G40" s="76">
        <f t="shared" si="17"/>
        <v>64197.5</v>
      </c>
      <c r="H40" s="76">
        <f t="shared" si="17"/>
        <v>0</v>
      </c>
      <c r="I40" s="76">
        <f t="shared" si="17"/>
        <v>433297.06</v>
      </c>
      <c r="J40" s="76">
        <f t="shared" si="17"/>
        <v>191890.75</v>
      </c>
      <c r="K40" s="76">
        <f t="shared" si="17"/>
        <v>214405.7</v>
      </c>
      <c r="L40" s="76">
        <f t="shared" si="17"/>
        <v>0</v>
      </c>
      <c r="M40" s="76">
        <f t="shared" si="17"/>
        <v>104202.19</v>
      </c>
      <c r="N40" s="76">
        <f t="shared" si="17"/>
        <v>9500</v>
      </c>
      <c r="O40" s="76">
        <f t="shared" si="17"/>
        <v>1015205.85</v>
      </c>
      <c r="P40" s="76">
        <f t="shared" si="17"/>
        <v>0</v>
      </c>
      <c r="Q40" s="76">
        <f t="shared" si="17"/>
        <v>0</v>
      </c>
      <c r="R40" s="76">
        <f t="shared" si="17"/>
        <v>126370</v>
      </c>
      <c r="S40" s="76">
        <f t="shared" si="17"/>
        <v>97828</v>
      </c>
      <c r="T40" s="76">
        <f t="shared" si="17"/>
        <v>94394</v>
      </c>
      <c r="U40" s="76">
        <f t="shared" si="17"/>
        <v>4808.45</v>
      </c>
      <c r="V40" s="76">
        <f t="shared" si="17"/>
        <v>0</v>
      </c>
      <c r="W40" s="76">
        <f t="shared" si="17"/>
        <v>0</v>
      </c>
      <c r="X40" s="76">
        <f t="shared" si="17"/>
        <v>51812.1</v>
      </c>
      <c r="Y40" s="76">
        <f t="shared" si="17"/>
        <v>1564.35</v>
      </c>
      <c r="Z40" s="76">
        <f t="shared" si="17"/>
        <v>135879.62</v>
      </c>
      <c r="AA40" s="76">
        <f t="shared" si="17"/>
        <v>6071</v>
      </c>
      <c r="AB40" s="76">
        <f t="shared" si="17"/>
        <v>68838</v>
      </c>
      <c r="AC40" s="76">
        <f t="shared" si="17"/>
        <v>6587</v>
      </c>
      <c r="AD40" s="76">
        <f t="shared" si="17"/>
        <v>3878.14</v>
      </c>
      <c r="AE40" s="76">
        <f t="shared" si="17"/>
        <v>20257.45</v>
      </c>
      <c r="AF40" s="76">
        <f t="shared" si="17"/>
        <v>68654.45</v>
      </c>
      <c r="AG40" s="76">
        <f t="shared" si="17"/>
        <v>112273.62</v>
      </c>
      <c r="AH40" s="76">
        <f t="shared" si="17"/>
        <v>1143.8</v>
      </c>
      <c r="AI40" s="76">
        <f t="shared" si="17"/>
        <v>3530.75</v>
      </c>
      <c r="AJ40" s="76">
        <f t="shared" si="17"/>
        <v>228874.55</v>
      </c>
      <c r="AK40" s="76">
        <f t="shared" si="17"/>
        <v>174342.2</v>
      </c>
      <c r="AL40" s="76">
        <f t="shared" si="17"/>
        <v>80358.820000000007</v>
      </c>
      <c r="AM40" s="76">
        <f t="shared" si="17"/>
        <v>0</v>
      </c>
      <c r="AN40" s="76">
        <f t="shared" si="17"/>
        <v>0</v>
      </c>
      <c r="AO40" s="76">
        <f t="shared" si="17"/>
        <v>13297.81</v>
      </c>
      <c r="AP40" s="76">
        <f t="shared" si="17"/>
        <v>2175</v>
      </c>
      <c r="AQ40" s="76">
        <f t="shared" si="17"/>
        <v>122673.8</v>
      </c>
      <c r="AR40" s="76">
        <f t="shared" si="17"/>
        <v>19646.849999999999</v>
      </c>
      <c r="AS40" s="76">
        <f t="shared" si="17"/>
        <v>162563.9</v>
      </c>
      <c r="AT40" s="76">
        <f t="shared" si="17"/>
        <v>25295.75</v>
      </c>
      <c r="AU40" s="76">
        <f t="shared" si="17"/>
        <v>227535.97</v>
      </c>
      <c r="AV40" s="76">
        <f t="shared" si="17"/>
        <v>13924</v>
      </c>
      <c r="AW40" s="76">
        <f t="shared" si="17"/>
        <v>37555.01</v>
      </c>
      <c r="AX40" s="76">
        <f t="shared" si="17"/>
        <v>254.82</v>
      </c>
      <c r="AY40" s="76">
        <f t="shared" si="17"/>
        <v>7325.7</v>
      </c>
      <c r="AZ40" s="76">
        <f t="shared" si="17"/>
        <v>159180.69</v>
      </c>
      <c r="BA40" s="76">
        <f t="shared" si="17"/>
        <v>23417.32</v>
      </c>
      <c r="BB40" s="76">
        <f t="shared" si="17"/>
        <v>986875</v>
      </c>
      <c r="BC40" s="76">
        <f t="shared" si="17"/>
        <v>7447.05</v>
      </c>
      <c r="BD40" s="76">
        <f t="shared" si="17"/>
        <v>5157290.8100000005</v>
      </c>
      <c r="BE40" s="76">
        <f t="shared" si="17"/>
        <v>2384056.29</v>
      </c>
      <c r="BF40" s="76">
        <f t="shared" si="17"/>
        <v>480490.28</v>
      </c>
      <c r="BG40" s="76">
        <f t="shared" si="17"/>
        <v>2292744.2399999998</v>
      </c>
    </row>
    <row r="41" spans="2:59" x14ac:dyDescent="0.2">
      <c r="C41" s="8">
        <v>350</v>
      </c>
      <c r="D41" s="8" t="s">
        <v>105</v>
      </c>
      <c r="E41" s="13">
        <v>0</v>
      </c>
      <c r="F41" s="13">
        <v>0</v>
      </c>
      <c r="G41" s="13">
        <v>0</v>
      </c>
      <c r="H41" s="13">
        <v>0</v>
      </c>
      <c r="I41" s="13">
        <v>0</v>
      </c>
      <c r="J41" s="13">
        <v>0</v>
      </c>
      <c r="K41" s="13">
        <v>0</v>
      </c>
      <c r="L41" s="13">
        <v>0</v>
      </c>
      <c r="M41" s="13">
        <v>0</v>
      </c>
      <c r="N41" s="13">
        <v>9500</v>
      </c>
      <c r="O41" s="13">
        <v>0</v>
      </c>
      <c r="P41" s="13">
        <v>0</v>
      </c>
      <c r="Q41" s="13">
        <v>0</v>
      </c>
      <c r="R41" s="13">
        <v>0</v>
      </c>
      <c r="S41" s="13">
        <v>97828</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v>
      </c>
      <c r="AK41" s="13">
        <v>0</v>
      </c>
      <c r="AL41" s="13">
        <v>0</v>
      </c>
      <c r="AM41" s="13">
        <v>0</v>
      </c>
      <c r="AN41" s="13">
        <v>0</v>
      </c>
      <c r="AO41" s="13">
        <v>0</v>
      </c>
      <c r="AP41" s="13">
        <v>0</v>
      </c>
      <c r="AQ41" s="13">
        <v>0</v>
      </c>
      <c r="AR41" s="13">
        <v>0</v>
      </c>
      <c r="AS41" s="13">
        <v>6705</v>
      </c>
      <c r="AT41" s="13">
        <v>0</v>
      </c>
      <c r="AU41" s="13">
        <v>15693.93</v>
      </c>
      <c r="AV41" s="13">
        <v>0</v>
      </c>
      <c r="AW41" s="13">
        <v>135.72</v>
      </c>
      <c r="AX41" s="13">
        <v>0</v>
      </c>
      <c r="AY41" s="13">
        <v>0</v>
      </c>
      <c r="AZ41" s="13">
        <v>0</v>
      </c>
      <c r="BA41" s="13">
        <v>0</v>
      </c>
      <c r="BB41" s="13">
        <v>0</v>
      </c>
      <c r="BC41" s="13">
        <v>0</v>
      </c>
      <c r="BD41" s="13">
        <f>SUM(E41:BC41)</f>
        <v>129862.65</v>
      </c>
      <c r="BE41" s="13">
        <f>SUM(E41:W41)</f>
        <v>107328</v>
      </c>
      <c r="BF41" s="13">
        <f>SUM(X41:AI41)</f>
        <v>0</v>
      </c>
      <c r="BG41" s="13">
        <f>SUM(AJ41:BC41)</f>
        <v>22534.65</v>
      </c>
    </row>
    <row r="42" spans="2:59" x14ac:dyDescent="0.2">
      <c r="C42" s="8">
        <v>351</v>
      </c>
      <c r="D42" s="8" t="s">
        <v>104</v>
      </c>
      <c r="E42" s="13">
        <v>9169.5499999999993</v>
      </c>
      <c r="F42" s="13">
        <v>18787.240000000002</v>
      </c>
      <c r="G42" s="13">
        <v>64197.5</v>
      </c>
      <c r="H42" s="13">
        <v>0</v>
      </c>
      <c r="I42" s="13">
        <v>433297.06</v>
      </c>
      <c r="J42" s="13">
        <v>191890.75</v>
      </c>
      <c r="K42" s="13">
        <v>214405.7</v>
      </c>
      <c r="L42" s="13">
        <v>0</v>
      </c>
      <c r="M42" s="13">
        <v>104202.19</v>
      </c>
      <c r="N42" s="13">
        <v>0</v>
      </c>
      <c r="O42" s="13">
        <v>1015205.85</v>
      </c>
      <c r="P42" s="13">
        <v>0</v>
      </c>
      <c r="Q42" s="13">
        <v>0</v>
      </c>
      <c r="R42" s="13">
        <v>126370</v>
      </c>
      <c r="S42" s="13">
        <v>0</v>
      </c>
      <c r="T42" s="13">
        <v>94394</v>
      </c>
      <c r="U42" s="13">
        <v>4808.45</v>
      </c>
      <c r="V42" s="13">
        <v>0</v>
      </c>
      <c r="W42" s="13">
        <v>0</v>
      </c>
      <c r="X42" s="13">
        <v>51812.1</v>
      </c>
      <c r="Y42" s="13">
        <v>1564.35</v>
      </c>
      <c r="Z42" s="13">
        <v>135879.62</v>
      </c>
      <c r="AA42" s="13">
        <v>6071</v>
      </c>
      <c r="AB42" s="13">
        <v>68838</v>
      </c>
      <c r="AC42" s="13">
        <v>6587</v>
      </c>
      <c r="AD42" s="13">
        <v>3878.14</v>
      </c>
      <c r="AE42" s="13">
        <v>20257.45</v>
      </c>
      <c r="AF42" s="13">
        <v>68654.45</v>
      </c>
      <c r="AG42" s="13">
        <v>112273.62</v>
      </c>
      <c r="AH42" s="13">
        <v>1143.8</v>
      </c>
      <c r="AI42" s="13">
        <v>3530.75</v>
      </c>
      <c r="AJ42" s="13">
        <v>228874.55</v>
      </c>
      <c r="AK42" s="13">
        <v>174342.2</v>
      </c>
      <c r="AL42" s="13">
        <v>80358.820000000007</v>
      </c>
      <c r="AM42" s="13">
        <v>0</v>
      </c>
      <c r="AN42" s="13">
        <v>0</v>
      </c>
      <c r="AO42" s="13">
        <v>13297.81</v>
      </c>
      <c r="AP42" s="13">
        <v>2175</v>
      </c>
      <c r="AQ42" s="13">
        <v>122673.8</v>
      </c>
      <c r="AR42" s="13">
        <v>19646.849999999999</v>
      </c>
      <c r="AS42" s="13">
        <v>155858.9</v>
      </c>
      <c r="AT42" s="13">
        <v>25295.75</v>
      </c>
      <c r="AU42" s="13">
        <v>211842.04</v>
      </c>
      <c r="AV42" s="13">
        <v>13924</v>
      </c>
      <c r="AW42" s="13">
        <v>37419.29</v>
      </c>
      <c r="AX42" s="13">
        <v>254.82</v>
      </c>
      <c r="AY42" s="13">
        <v>7325.7</v>
      </c>
      <c r="AZ42" s="13">
        <v>159180.69</v>
      </c>
      <c r="BA42" s="13">
        <v>23417.32</v>
      </c>
      <c r="BB42" s="13">
        <v>986875</v>
      </c>
      <c r="BC42" s="13">
        <v>7447.05</v>
      </c>
      <c r="BD42" s="13">
        <f>SUM(E42:BC42)</f>
        <v>5027428.16</v>
      </c>
      <c r="BE42" s="13">
        <f>SUM(E42:W42)</f>
        <v>2276728.29</v>
      </c>
      <c r="BF42" s="13">
        <f>SUM(X42:AI42)</f>
        <v>480490.28</v>
      </c>
      <c r="BG42" s="13">
        <f>SUM(AJ42:BC42)</f>
        <v>2270209.59</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2345563.2599999998</v>
      </c>
      <c r="F44" s="76">
        <f t="shared" ref="F44:BG44" si="18">F45+F46+F47+F48+F49+F50+F51+F52</f>
        <v>654032.80000000005</v>
      </c>
      <c r="G44" s="76">
        <f t="shared" si="18"/>
        <v>1087397.1000000001</v>
      </c>
      <c r="H44" s="76">
        <f t="shared" si="18"/>
        <v>1029945.8</v>
      </c>
      <c r="I44" s="76">
        <f t="shared" si="18"/>
        <v>7923859.1500000004</v>
      </c>
      <c r="J44" s="76">
        <f t="shared" si="18"/>
        <v>6872706.1999999993</v>
      </c>
      <c r="K44" s="76">
        <f t="shared" si="18"/>
        <v>6793787.6699999999</v>
      </c>
      <c r="L44" s="76">
        <f t="shared" si="18"/>
        <v>44381760.149999999</v>
      </c>
      <c r="M44" s="76">
        <f t="shared" si="18"/>
        <v>3945444.9299999997</v>
      </c>
      <c r="N44" s="76">
        <f t="shared" si="18"/>
        <v>246934.5</v>
      </c>
      <c r="O44" s="76">
        <f t="shared" si="18"/>
        <v>17422916.989999998</v>
      </c>
      <c r="P44" s="76">
        <f t="shared" si="18"/>
        <v>1114306.5000000002</v>
      </c>
      <c r="Q44" s="76">
        <f t="shared" si="18"/>
        <v>239063.55</v>
      </c>
      <c r="R44" s="76">
        <f t="shared" si="18"/>
        <v>903886.71000000008</v>
      </c>
      <c r="S44" s="76">
        <f t="shared" si="18"/>
        <v>759013.82000000007</v>
      </c>
      <c r="T44" s="76">
        <f t="shared" si="18"/>
        <v>1662997.19</v>
      </c>
      <c r="U44" s="76">
        <f t="shared" si="18"/>
        <v>607069.04</v>
      </c>
      <c r="V44" s="76">
        <f t="shared" si="18"/>
        <v>1351480.9</v>
      </c>
      <c r="W44" s="76">
        <f t="shared" si="18"/>
        <v>6515979.3299999991</v>
      </c>
      <c r="X44" s="76">
        <f t="shared" si="18"/>
        <v>786930.84000000008</v>
      </c>
      <c r="Y44" s="76">
        <f t="shared" si="18"/>
        <v>3063906.92</v>
      </c>
      <c r="Z44" s="76">
        <f t="shared" si="18"/>
        <v>7481289.8000000007</v>
      </c>
      <c r="AA44" s="76">
        <f t="shared" si="18"/>
        <v>407766.5</v>
      </c>
      <c r="AB44" s="76">
        <f t="shared" si="18"/>
        <v>1346485.6099999999</v>
      </c>
      <c r="AC44" s="76">
        <f t="shared" si="18"/>
        <v>1805674.08</v>
      </c>
      <c r="AD44" s="76">
        <f t="shared" si="18"/>
        <v>1281747.95</v>
      </c>
      <c r="AE44" s="76">
        <f t="shared" si="18"/>
        <v>1309650.6099999999</v>
      </c>
      <c r="AF44" s="76">
        <f t="shared" si="18"/>
        <v>5367761.01</v>
      </c>
      <c r="AG44" s="76">
        <f t="shared" si="18"/>
        <v>6111203.9299999997</v>
      </c>
      <c r="AH44" s="76">
        <f t="shared" si="18"/>
        <v>527093.91</v>
      </c>
      <c r="AI44" s="76">
        <f t="shared" si="18"/>
        <v>273830.59999999998</v>
      </c>
      <c r="AJ44" s="76">
        <f t="shared" si="18"/>
        <v>4997687.55</v>
      </c>
      <c r="AK44" s="76">
        <f t="shared" si="18"/>
        <v>2694353.56</v>
      </c>
      <c r="AL44" s="76">
        <f t="shared" si="18"/>
        <v>3050106.12</v>
      </c>
      <c r="AM44" s="76">
        <f t="shared" si="18"/>
        <v>309919.02</v>
      </c>
      <c r="AN44" s="76">
        <f t="shared" si="18"/>
        <v>4435630.34</v>
      </c>
      <c r="AO44" s="76">
        <f t="shared" si="18"/>
        <v>1997902.5499999998</v>
      </c>
      <c r="AP44" s="76">
        <f t="shared" si="18"/>
        <v>1533011.9</v>
      </c>
      <c r="AQ44" s="76">
        <f t="shared" si="18"/>
        <v>2955588.2</v>
      </c>
      <c r="AR44" s="76">
        <f t="shared" si="18"/>
        <v>1962104.25</v>
      </c>
      <c r="AS44" s="76">
        <f t="shared" si="18"/>
        <v>2661124.91</v>
      </c>
      <c r="AT44" s="76">
        <f t="shared" si="18"/>
        <v>758140.8</v>
      </c>
      <c r="AU44" s="76">
        <f t="shared" si="18"/>
        <v>6736468.4100000001</v>
      </c>
      <c r="AV44" s="76">
        <f t="shared" si="18"/>
        <v>2019357.81</v>
      </c>
      <c r="AW44" s="76">
        <f t="shared" si="18"/>
        <v>1001061.66</v>
      </c>
      <c r="AX44" s="76">
        <f t="shared" si="18"/>
        <v>711991.97</v>
      </c>
      <c r="AY44" s="76">
        <f t="shared" si="18"/>
        <v>4077000.45</v>
      </c>
      <c r="AZ44" s="76">
        <f t="shared" si="18"/>
        <v>917777.55</v>
      </c>
      <c r="BA44" s="76">
        <f t="shared" si="18"/>
        <v>2696885.21</v>
      </c>
      <c r="BB44" s="76">
        <f t="shared" si="18"/>
        <v>19106962.170000002</v>
      </c>
      <c r="BC44" s="76">
        <f t="shared" si="18"/>
        <v>1451091.5499999998</v>
      </c>
      <c r="BD44" s="76">
        <f t="shared" si="18"/>
        <v>201695653.33000004</v>
      </c>
      <c r="BE44" s="76">
        <f t="shared" si="18"/>
        <v>105858145.59</v>
      </c>
      <c r="BF44" s="76">
        <f t="shared" si="18"/>
        <v>29763341.760000002</v>
      </c>
      <c r="BG44" s="76">
        <f t="shared" si="18"/>
        <v>66074165.979999997</v>
      </c>
    </row>
    <row r="45" spans="2:59" x14ac:dyDescent="0.2">
      <c r="C45" s="8">
        <v>360</v>
      </c>
      <c r="D45" s="8" t="s">
        <v>107</v>
      </c>
      <c r="E45" s="13">
        <v>5729.8</v>
      </c>
      <c r="F45" s="13">
        <v>1380</v>
      </c>
      <c r="G45" s="13">
        <v>1480</v>
      </c>
      <c r="H45" s="13">
        <v>960</v>
      </c>
      <c r="I45" s="13">
        <v>17277.82</v>
      </c>
      <c r="J45" s="13">
        <v>124428.85</v>
      </c>
      <c r="K45" s="13">
        <v>4300</v>
      </c>
      <c r="L45" s="13">
        <v>26576.65</v>
      </c>
      <c r="M45" s="13">
        <v>2980</v>
      </c>
      <c r="N45" s="13">
        <v>640</v>
      </c>
      <c r="O45" s="13">
        <v>103464.6</v>
      </c>
      <c r="P45" s="13">
        <v>1580</v>
      </c>
      <c r="Q45" s="13">
        <v>200</v>
      </c>
      <c r="R45" s="13">
        <v>1460</v>
      </c>
      <c r="S45" s="13">
        <v>960</v>
      </c>
      <c r="T45" s="13">
        <v>8050.5</v>
      </c>
      <c r="U45" s="13">
        <v>880</v>
      </c>
      <c r="V45" s="13">
        <v>900</v>
      </c>
      <c r="W45" s="13">
        <v>7240</v>
      </c>
      <c r="X45" s="13">
        <v>2260</v>
      </c>
      <c r="Y45" s="13">
        <v>10969.7</v>
      </c>
      <c r="Z45" s="13">
        <v>0</v>
      </c>
      <c r="AA45" s="13">
        <v>2416.75</v>
      </c>
      <c r="AB45" s="13">
        <v>4330</v>
      </c>
      <c r="AC45" s="13">
        <v>7357.1</v>
      </c>
      <c r="AD45" s="13">
        <v>4770</v>
      </c>
      <c r="AE45" s="13">
        <v>6636.45</v>
      </c>
      <c r="AF45" s="13">
        <v>18910</v>
      </c>
      <c r="AG45" s="13">
        <v>23350</v>
      </c>
      <c r="AH45" s="13">
        <v>2130</v>
      </c>
      <c r="AI45" s="13">
        <v>3004.1</v>
      </c>
      <c r="AJ45" s="13">
        <v>4510</v>
      </c>
      <c r="AK45" s="13">
        <v>5460</v>
      </c>
      <c r="AL45" s="13">
        <v>4410</v>
      </c>
      <c r="AM45" s="13">
        <v>868</v>
      </c>
      <c r="AN45" s="13">
        <v>70</v>
      </c>
      <c r="AO45" s="13">
        <v>420</v>
      </c>
      <c r="AP45" s="13">
        <v>1880</v>
      </c>
      <c r="AQ45" s="13">
        <v>6870</v>
      </c>
      <c r="AR45" s="13">
        <v>2520</v>
      </c>
      <c r="AS45" s="13">
        <v>2940</v>
      </c>
      <c r="AT45" s="13">
        <v>1570</v>
      </c>
      <c r="AU45" s="13">
        <v>5620</v>
      </c>
      <c r="AV45" s="13">
        <v>1880</v>
      </c>
      <c r="AW45" s="13">
        <v>0</v>
      </c>
      <c r="AX45" s="13">
        <v>1800</v>
      </c>
      <c r="AY45" s="13">
        <v>3700</v>
      </c>
      <c r="AZ45" s="13">
        <v>3490</v>
      </c>
      <c r="BA45" s="13">
        <v>4400</v>
      </c>
      <c r="BB45" s="13">
        <v>17762.45</v>
      </c>
      <c r="BC45" s="13">
        <v>2060</v>
      </c>
      <c r="BD45" s="13">
        <f t="shared" ref="BD45:BD52" si="19">SUM(E45:BC45)</f>
        <v>468852.76999999996</v>
      </c>
      <c r="BE45" s="13">
        <f t="shared" ref="BE45:BE52" si="20">SUM(E45:W45)</f>
        <v>310488.21999999997</v>
      </c>
      <c r="BF45" s="13">
        <f t="shared" ref="BF45:BF52" si="21">SUM(X45:AI45)</f>
        <v>86134.1</v>
      </c>
      <c r="BG45" s="13">
        <f t="shared" ref="BG45:BG52" si="22">SUM(AJ45:BC45)</f>
        <v>72230.45</v>
      </c>
    </row>
    <row r="46" spans="2:59" x14ac:dyDescent="0.2">
      <c r="C46" s="8">
        <v>361</v>
      </c>
      <c r="D46" s="8" t="s">
        <v>108</v>
      </c>
      <c r="E46" s="13">
        <v>1790032.22</v>
      </c>
      <c r="F46" s="13">
        <v>419258.9</v>
      </c>
      <c r="G46" s="13">
        <v>883953.05</v>
      </c>
      <c r="H46" s="13">
        <v>708666.93</v>
      </c>
      <c r="I46" s="13">
        <v>4881499.57</v>
      </c>
      <c r="J46" s="13">
        <v>4492830.1399999997</v>
      </c>
      <c r="K46" s="13">
        <v>4984679.38</v>
      </c>
      <c r="L46" s="13">
        <v>19311602.370000001</v>
      </c>
      <c r="M46" s="13">
        <v>2778276.67</v>
      </c>
      <c r="N46" s="13">
        <v>141289.5</v>
      </c>
      <c r="O46" s="13">
        <v>12800044.35</v>
      </c>
      <c r="P46" s="13">
        <v>834768.8</v>
      </c>
      <c r="Q46" s="13">
        <v>181373.1</v>
      </c>
      <c r="R46" s="13">
        <v>727450.06</v>
      </c>
      <c r="S46" s="13">
        <v>566388.75</v>
      </c>
      <c r="T46" s="13">
        <v>1325705.5900000001</v>
      </c>
      <c r="U46" s="13">
        <v>454484.15</v>
      </c>
      <c r="V46" s="13">
        <v>751261.9</v>
      </c>
      <c r="W46" s="13">
        <v>4499742.93</v>
      </c>
      <c r="X46" s="13">
        <v>520567.75</v>
      </c>
      <c r="Y46" s="13">
        <v>2104937.0699999998</v>
      </c>
      <c r="Z46" s="13">
        <v>2587878.64</v>
      </c>
      <c r="AA46" s="13">
        <v>301436.90000000002</v>
      </c>
      <c r="AB46" s="13">
        <v>959065.59999999998</v>
      </c>
      <c r="AC46" s="13">
        <v>1322704.68</v>
      </c>
      <c r="AD46" s="13">
        <v>833872.2</v>
      </c>
      <c r="AE46" s="13">
        <v>995601.53</v>
      </c>
      <c r="AF46" s="13">
        <v>3461838.94</v>
      </c>
      <c r="AG46" s="13">
        <v>3246086.76</v>
      </c>
      <c r="AH46" s="13">
        <v>413167.26</v>
      </c>
      <c r="AI46" s="13">
        <v>201926.8</v>
      </c>
      <c r="AJ46" s="13">
        <v>3921664.97</v>
      </c>
      <c r="AK46" s="13">
        <v>1880208.06</v>
      </c>
      <c r="AL46" s="13">
        <v>2205873.77</v>
      </c>
      <c r="AM46" s="13">
        <v>140145.95000000001</v>
      </c>
      <c r="AN46" s="13">
        <v>1596469.71</v>
      </c>
      <c r="AO46" s="13">
        <v>1346120.65</v>
      </c>
      <c r="AP46" s="13">
        <v>1174902.3999999999</v>
      </c>
      <c r="AQ46" s="13">
        <v>2265739.25</v>
      </c>
      <c r="AR46" s="13">
        <v>1500795.85</v>
      </c>
      <c r="AS46" s="13">
        <v>1891517.66</v>
      </c>
      <c r="AT46" s="13">
        <v>590595.80000000005</v>
      </c>
      <c r="AU46" s="13">
        <v>5358734.17</v>
      </c>
      <c r="AV46" s="13">
        <v>1565898.36</v>
      </c>
      <c r="AW46" s="13">
        <v>643629.56000000006</v>
      </c>
      <c r="AX46" s="13">
        <v>513153.22</v>
      </c>
      <c r="AY46" s="13">
        <v>3155214.95</v>
      </c>
      <c r="AZ46" s="13">
        <v>711736.3</v>
      </c>
      <c r="BA46" s="13">
        <v>2004906.16</v>
      </c>
      <c r="BB46" s="13">
        <v>9068505.5899999999</v>
      </c>
      <c r="BC46" s="13">
        <v>1067083.7</v>
      </c>
      <c r="BD46" s="13">
        <f t="shared" si="19"/>
        <v>122085288.57000002</v>
      </c>
      <c r="BE46" s="13">
        <f t="shared" si="20"/>
        <v>62533308.360000007</v>
      </c>
      <c r="BF46" s="13">
        <f t="shared" si="21"/>
        <v>16949084.129999999</v>
      </c>
      <c r="BG46" s="13">
        <f t="shared" si="22"/>
        <v>42602896.079999998</v>
      </c>
    </row>
    <row r="47" spans="2:59" x14ac:dyDescent="0.2">
      <c r="C47" s="8">
        <v>362</v>
      </c>
      <c r="D47" s="8" t="s">
        <v>109</v>
      </c>
      <c r="E47" s="13">
        <v>0</v>
      </c>
      <c r="F47" s="13">
        <v>6832</v>
      </c>
      <c r="G47" s="13">
        <v>0</v>
      </c>
      <c r="H47" s="13">
        <v>0</v>
      </c>
      <c r="I47" s="13">
        <v>158900</v>
      </c>
      <c r="J47" s="13">
        <v>143390</v>
      </c>
      <c r="K47" s="13">
        <v>241355</v>
      </c>
      <c r="L47" s="13">
        <v>860589</v>
      </c>
      <c r="M47" s="13">
        <v>58468</v>
      </c>
      <c r="N47" s="13">
        <v>-235.5</v>
      </c>
      <c r="O47" s="13">
        <v>248509</v>
      </c>
      <c r="P47" s="13">
        <v>0</v>
      </c>
      <c r="Q47" s="13">
        <v>3816</v>
      </c>
      <c r="R47" s="13">
        <v>0</v>
      </c>
      <c r="S47" s="13">
        <v>0</v>
      </c>
      <c r="T47" s="13">
        <v>30591</v>
      </c>
      <c r="U47" s="13">
        <v>4624</v>
      </c>
      <c r="V47" s="13">
        <v>0</v>
      </c>
      <c r="W47" s="13">
        <v>0</v>
      </c>
      <c r="X47" s="13">
        <v>0</v>
      </c>
      <c r="Y47" s="13">
        <v>182984</v>
      </c>
      <c r="Z47" s="13">
        <v>3843938</v>
      </c>
      <c r="AA47" s="13">
        <v>0</v>
      </c>
      <c r="AB47" s="13">
        <v>0</v>
      </c>
      <c r="AC47" s="13">
        <v>0</v>
      </c>
      <c r="AD47" s="13">
        <v>0</v>
      </c>
      <c r="AE47" s="13">
        <v>23124</v>
      </c>
      <c r="AF47" s="13">
        <v>343683</v>
      </c>
      <c r="AG47" s="13">
        <v>0</v>
      </c>
      <c r="AH47" s="13">
        <v>0</v>
      </c>
      <c r="AI47" s="13">
        <v>0</v>
      </c>
      <c r="AJ47" s="13">
        <v>62492</v>
      </c>
      <c r="AK47" s="13">
        <v>113896</v>
      </c>
      <c r="AL47" s="13">
        <v>0</v>
      </c>
      <c r="AM47" s="13">
        <v>0</v>
      </c>
      <c r="AN47" s="13">
        <v>1770320</v>
      </c>
      <c r="AO47" s="13">
        <v>10400</v>
      </c>
      <c r="AP47" s="13">
        <v>20919</v>
      </c>
      <c r="AQ47" s="13">
        <v>0</v>
      </c>
      <c r="AR47" s="13">
        <v>0</v>
      </c>
      <c r="AS47" s="13">
        <v>0</v>
      </c>
      <c r="AT47" s="13">
        <v>0</v>
      </c>
      <c r="AU47" s="13">
        <v>67846</v>
      </c>
      <c r="AV47" s="13">
        <v>33832</v>
      </c>
      <c r="AW47" s="13">
        <v>0</v>
      </c>
      <c r="AX47" s="13">
        <v>0</v>
      </c>
      <c r="AY47" s="13">
        <v>56015</v>
      </c>
      <c r="AZ47" s="13">
        <v>6318</v>
      </c>
      <c r="BA47" s="13">
        <v>10724</v>
      </c>
      <c r="BB47" s="13">
        <v>265179</v>
      </c>
      <c r="BC47" s="13">
        <v>0</v>
      </c>
      <c r="BD47" s="13">
        <f t="shared" si="19"/>
        <v>8568508.5</v>
      </c>
      <c r="BE47" s="13">
        <f t="shared" si="20"/>
        <v>1756838.5</v>
      </c>
      <c r="BF47" s="13">
        <f t="shared" si="21"/>
        <v>4393729</v>
      </c>
      <c r="BG47" s="13">
        <f t="shared" si="22"/>
        <v>2417941</v>
      </c>
    </row>
    <row r="48" spans="2:59" x14ac:dyDescent="0.2">
      <c r="C48" s="8">
        <v>363</v>
      </c>
      <c r="D48" s="8" t="s">
        <v>110</v>
      </c>
      <c r="E48" s="13">
        <v>541895.94999999995</v>
      </c>
      <c r="F48" s="13">
        <v>224698.9</v>
      </c>
      <c r="G48" s="13">
        <v>201964.05</v>
      </c>
      <c r="H48" s="13">
        <v>275425.2</v>
      </c>
      <c r="I48" s="13">
        <v>2699785.16</v>
      </c>
      <c r="J48" s="13">
        <v>2068721.32</v>
      </c>
      <c r="K48" s="13">
        <v>1548985.54</v>
      </c>
      <c r="L48" s="13">
        <v>18912762.059999999</v>
      </c>
      <c r="M48" s="13">
        <v>867127.05</v>
      </c>
      <c r="N48" s="13">
        <v>105240.5</v>
      </c>
      <c r="O48" s="13">
        <v>4177946.45</v>
      </c>
      <c r="P48" s="13">
        <v>274956.40000000002</v>
      </c>
      <c r="Q48" s="13">
        <v>53674.45</v>
      </c>
      <c r="R48" s="13">
        <v>171295.65</v>
      </c>
      <c r="S48" s="13">
        <v>191665.07</v>
      </c>
      <c r="T48" s="13">
        <v>298650.09999999998</v>
      </c>
      <c r="U48" s="13">
        <v>136198.34</v>
      </c>
      <c r="V48" s="13">
        <v>599319</v>
      </c>
      <c r="W48" s="13">
        <v>1995693.6</v>
      </c>
      <c r="X48" s="13">
        <v>264103.09000000003</v>
      </c>
      <c r="Y48" s="13">
        <v>757393.15</v>
      </c>
      <c r="Z48" s="13">
        <v>1036387.16</v>
      </c>
      <c r="AA48" s="13">
        <v>103912.85</v>
      </c>
      <c r="AB48" s="13">
        <v>383090.01</v>
      </c>
      <c r="AC48" s="13">
        <v>452187.8</v>
      </c>
      <c r="AD48" s="13">
        <v>439729.7</v>
      </c>
      <c r="AE48" s="13">
        <v>277261.13</v>
      </c>
      <c r="AF48" s="13">
        <v>1528182.07</v>
      </c>
      <c r="AG48" s="13">
        <v>2820626.17</v>
      </c>
      <c r="AH48" s="13">
        <v>110635.65</v>
      </c>
      <c r="AI48" s="13">
        <v>68899.7</v>
      </c>
      <c r="AJ48" s="13">
        <v>1009020.58</v>
      </c>
      <c r="AK48" s="13">
        <v>694789.5</v>
      </c>
      <c r="AL48" s="13">
        <v>838067.35</v>
      </c>
      <c r="AM48" s="13">
        <v>168905.07</v>
      </c>
      <c r="AN48" s="13">
        <v>1068770.6299999999</v>
      </c>
      <c r="AO48" s="13">
        <v>640354.9</v>
      </c>
      <c r="AP48" s="13">
        <v>329388.5</v>
      </c>
      <c r="AQ48" s="13">
        <v>676210.95</v>
      </c>
      <c r="AR48" s="13">
        <v>451893.4</v>
      </c>
      <c r="AS48" s="13">
        <v>766667.25</v>
      </c>
      <c r="AT48" s="13">
        <v>165607</v>
      </c>
      <c r="AU48" s="13">
        <v>1304268.24</v>
      </c>
      <c r="AV48" s="13">
        <v>417114.45</v>
      </c>
      <c r="AW48" s="13">
        <v>353813.1</v>
      </c>
      <c r="AX48" s="13">
        <v>193883.75</v>
      </c>
      <c r="AY48" s="13">
        <v>847473.5</v>
      </c>
      <c r="AZ48" s="13">
        <v>195848.95</v>
      </c>
      <c r="BA48" s="13">
        <v>675771.65</v>
      </c>
      <c r="BB48" s="13">
        <v>9755515.1300000008</v>
      </c>
      <c r="BC48" s="13">
        <v>376497.85</v>
      </c>
      <c r="BD48" s="13">
        <f t="shared" si="19"/>
        <v>64518275.020000018</v>
      </c>
      <c r="BE48" s="13">
        <f t="shared" si="20"/>
        <v>35346004.789999999</v>
      </c>
      <c r="BF48" s="13">
        <f t="shared" si="21"/>
        <v>8242408.4800000004</v>
      </c>
      <c r="BG48" s="13">
        <f t="shared" si="22"/>
        <v>20929861.75</v>
      </c>
    </row>
    <row r="49" spans="2:5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f t="shared" si="19"/>
        <v>0</v>
      </c>
      <c r="BE49" s="13">
        <f t="shared" si="20"/>
        <v>0</v>
      </c>
      <c r="BF49" s="13">
        <f t="shared" si="21"/>
        <v>0</v>
      </c>
      <c r="BG49" s="13">
        <f t="shared" si="22"/>
        <v>0</v>
      </c>
    </row>
    <row r="50" spans="2:5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13000</v>
      </c>
      <c r="AZ50" s="13">
        <v>0</v>
      </c>
      <c r="BA50" s="13">
        <v>0</v>
      </c>
      <c r="BB50" s="13">
        <v>0</v>
      </c>
      <c r="BC50" s="13">
        <v>0</v>
      </c>
      <c r="BD50" s="13">
        <f t="shared" si="19"/>
        <v>21100</v>
      </c>
      <c r="BE50" s="13">
        <f t="shared" si="20"/>
        <v>8100</v>
      </c>
      <c r="BF50" s="13">
        <f t="shared" si="21"/>
        <v>0</v>
      </c>
      <c r="BG50" s="13">
        <f t="shared" si="22"/>
        <v>13000</v>
      </c>
    </row>
    <row r="51" spans="2:59" x14ac:dyDescent="0.2">
      <c r="C51" s="8">
        <v>366</v>
      </c>
      <c r="D51" s="8" t="s">
        <v>113</v>
      </c>
      <c r="E51" s="13">
        <v>7905.29</v>
      </c>
      <c r="F51" s="13">
        <v>0</v>
      </c>
      <c r="G51" s="13">
        <v>0</v>
      </c>
      <c r="H51" s="13">
        <v>2572.4499999999998</v>
      </c>
      <c r="I51" s="13">
        <v>166396.6</v>
      </c>
      <c r="J51" s="13">
        <v>0</v>
      </c>
      <c r="K51" s="13">
        <v>14467.75</v>
      </c>
      <c r="L51" s="13">
        <v>603909</v>
      </c>
      <c r="M51" s="13">
        <v>10700</v>
      </c>
      <c r="N51" s="13">
        <v>0</v>
      </c>
      <c r="O51" s="13">
        <v>74430.89</v>
      </c>
      <c r="P51" s="13">
        <v>3001.3</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607</v>
      </c>
      <c r="AP51" s="13">
        <v>567</v>
      </c>
      <c r="AQ51" s="13">
        <v>0</v>
      </c>
      <c r="AR51" s="13">
        <v>422</v>
      </c>
      <c r="AS51" s="13">
        <v>0</v>
      </c>
      <c r="AT51" s="13">
        <v>338</v>
      </c>
      <c r="AU51" s="13">
        <v>0</v>
      </c>
      <c r="AV51" s="13">
        <v>633</v>
      </c>
      <c r="AW51" s="13">
        <v>442</v>
      </c>
      <c r="AX51" s="13">
        <v>311</v>
      </c>
      <c r="AY51" s="13">
        <v>1597</v>
      </c>
      <c r="AZ51" s="13">
        <v>319</v>
      </c>
      <c r="BA51" s="13">
        <v>1083.4000000000001</v>
      </c>
      <c r="BB51" s="13">
        <v>0</v>
      </c>
      <c r="BC51" s="13">
        <v>590</v>
      </c>
      <c r="BD51" s="13">
        <f t="shared" si="19"/>
        <v>904263.03000000014</v>
      </c>
      <c r="BE51" s="13">
        <f t="shared" si="20"/>
        <v>897353.63000000012</v>
      </c>
      <c r="BF51" s="13">
        <f t="shared" si="21"/>
        <v>0</v>
      </c>
      <c r="BG51" s="13">
        <f t="shared" si="22"/>
        <v>6909.4</v>
      </c>
    </row>
    <row r="52" spans="2:59" x14ac:dyDescent="0.2">
      <c r="C52" s="8">
        <v>369</v>
      </c>
      <c r="D52" s="8" t="s">
        <v>114</v>
      </c>
      <c r="E52" s="13">
        <v>0</v>
      </c>
      <c r="F52" s="13">
        <v>1863</v>
      </c>
      <c r="G52" s="13">
        <v>0</v>
      </c>
      <c r="H52" s="13">
        <v>42321.22</v>
      </c>
      <c r="I52" s="13">
        <v>0</v>
      </c>
      <c r="J52" s="13">
        <v>43335.89</v>
      </c>
      <c r="K52" s="13">
        <v>0</v>
      </c>
      <c r="L52" s="13">
        <v>4666321.07</v>
      </c>
      <c r="M52" s="13">
        <v>227893.21</v>
      </c>
      <c r="N52" s="13">
        <v>0</v>
      </c>
      <c r="O52" s="13">
        <v>18521.7</v>
      </c>
      <c r="P52" s="13">
        <v>0</v>
      </c>
      <c r="Q52" s="13">
        <v>0</v>
      </c>
      <c r="R52" s="13">
        <v>3681</v>
      </c>
      <c r="S52" s="13">
        <v>0</v>
      </c>
      <c r="T52" s="13">
        <v>0</v>
      </c>
      <c r="U52" s="13">
        <v>2115</v>
      </c>
      <c r="V52" s="13">
        <v>0</v>
      </c>
      <c r="W52" s="13">
        <v>0</v>
      </c>
      <c r="X52" s="13">
        <v>0</v>
      </c>
      <c r="Y52" s="13">
        <v>7623</v>
      </c>
      <c r="Z52" s="13">
        <v>13086</v>
      </c>
      <c r="AA52" s="13">
        <v>0</v>
      </c>
      <c r="AB52" s="13">
        <v>0</v>
      </c>
      <c r="AC52" s="13">
        <v>23424.5</v>
      </c>
      <c r="AD52" s="13">
        <v>3376.05</v>
      </c>
      <c r="AE52" s="13">
        <v>7027.5</v>
      </c>
      <c r="AF52" s="13">
        <v>15147</v>
      </c>
      <c r="AG52" s="13">
        <v>21141</v>
      </c>
      <c r="AH52" s="13">
        <v>1161</v>
      </c>
      <c r="AI52" s="13">
        <v>0</v>
      </c>
      <c r="AJ52" s="13">
        <v>0</v>
      </c>
      <c r="AK52" s="13">
        <v>0</v>
      </c>
      <c r="AL52" s="13">
        <v>1755</v>
      </c>
      <c r="AM52" s="13">
        <v>0</v>
      </c>
      <c r="AN52" s="13">
        <v>0</v>
      </c>
      <c r="AO52" s="13">
        <v>0</v>
      </c>
      <c r="AP52" s="13">
        <v>5355</v>
      </c>
      <c r="AQ52" s="13">
        <v>6768</v>
      </c>
      <c r="AR52" s="13">
        <v>6473</v>
      </c>
      <c r="AS52" s="13">
        <v>0</v>
      </c>
      <c r="AT52" s="13">
        <v>30</v>
      </c>
      <c r="AU52" s="13">
        <v>0</v>
      </c>
      <c r="AV52" s="13">
        <v>0</v>
      </c>
      <c r="AW52" s="13">
        <v>3177</v>
      </c>
      <c r="AX52" s="13">
        <v>2844</v>
      </c>
      <c r="AY52" s="13">
        <v>0</v>
      </c>
      <c r="AZ52" s="13">
        <v>65.3</v>
      </c>
      <c r="BA52" s="13">
        <v>0</v>
      </c>
      <c r="BB52" s="13">
        <v>0</v>
      </c>
      <c r="BC52" s="13">
        <v>4860</v>
      </c>
      <c r="BD52" s="13">
        <f t="shared" si="19"/>
        <v>5129365.4400000004</v>
      </c>
      <c r="BE52" s="13">
        <f t="shared" si="20"/>
        <v>5006052.0900000008</v>
      </c>
      <c r="BF52" s="13">
        <f t="shared" si="21"/>
        <v>91986.05</v>
      </c>
      <c r="BG52" s="13">
        <f t="shared" si="22"/>
        <v>31327.3</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23">F55</f>
        <v>0</v>
      </c>
      <c r="G54" s="76">
        <f t="shared" si="23"/>
        <v>0</v>
      </c>
      <c r="H54" s="76">
        <f t="shared" si="23"/>
        <v>0</v>
      </c>
      <c r="I54" s="76">
        <f t="shared" si="23"/>
        <v>0</v>
      </c>
      <c r="J54" s="76">
        <f t="shared" si="23"/>
        <v>0</v>
      </c>
      <c r="K54" s="76">
        <f t="shared" si="23"/>
        <v>0</v>
      </c>
      <c r="L54" s="76">
        <f t="shared" si="23"/>
        <v>0</v>
      </c>
      <c r="M54" s="76">
        <f t="shared" si="23"/>
        <v>0</v>
      </c>
      <c r="N54" s="76">
        <f t="shared" si="23"/>
        <v>0</v>
      </c>
      <c r="O54" s="76">
        <f t="shared" si="23"/>
        <v>0</v>
      </c>
      <c r="P54" s="76">
        <f t="shared" si="23"/>
        <v>0</v>
      </c>
      <c r="Q54" s="76">
        <f t="shared" si="23"/>
        <v>0</v>
      </c>
      <c r="R54" s="76">
        <f t="shared" si="23"/>
        <v>0</v>
      </c>
      <c r="S54" s="76">
        <f t="shared" si="23"/>
        <v>0</v>
      </c>
      <c r="T54" s="76">
        <f t="shared" si="23"/>
        <v>0</v>
      </c>
      <c r="U54" s="76">
        <f t="shared" si="23"/>
        <v>0</v>
      </c>
      <c r="V54" s="76">
        <f t="shared" si="23"/>
        <v>0</v>
      </c>
      <c r="W54" s="76">
        <f t="shared" si="23"/>
        <v>0</v>
      </c>
      <c r="X54" s="76">
        <f t="shared" si="23"/>
        <v>431034.7</v>
      </c>
      <c r="Y54" s="76">
        <f t="shared" si="23"/>
        <v>0</v>
      </c>
      <c r="Z54" s="76">
        <f t="shared" si="23"/>
        <v>585449.4</v>
      </c>
      <c r="AA54" s="76">
        <f t="shared" si="23"/>
        <v>170811.85</v>
      </c>
      <c r="AB54" s="76">
        <f t="shared" si="23"/>
        <v>157177.60000000001</v>
      </c>
      <c r="AC54" s="76">
        <f t="shared" si="23"/>
        <v>0</v>
      </c>
      <c r="AD54" s="76">
        <f t="shared" si="23"/>
        <v>249241</v>
      </c>
      <c r="AE54" s="76">
        <f t="shared" si="23"/>
        <v>609148.6</v>
      </c>
      <c r="AF54" s="76">
        <f t="shared" si="23"/>
        <v>351855.7</v>
      </c>
      <c r="AG54" s="76">
        <f t="shared" si="23"/>
        <v>0</v>
      </c>
      <c r="AH54" s="76">
        <f t="shared" si="23"/>
        <v>2864</v>
      </c>
      <c r="AI54" s="76">
        <f t="shared" si="23"/>
        <v>0</v>
      </c>
      <c r="AJ54" s="76">
        <f t="shared" si="23"/>
        <v>0</v>
      </c>
      <c r="AK54" s="76">
        <f t="shared" si="23"/>
        <v>0</v>
      </c>
      <c r="AL54" s="76">
        <f t="shared" si="23"/>
        <v>0</v>
      </c>
      <c r="AM54" s="76">
        <f t="shared" si="23"/>
        <v>0</v>
      </c>
      <c r="AN54" s="76">
        <f t="shared" si="23"/>
        <v>0</v>
      </c>
      <c r="AO54" s="76">
        <f t="shared" si="23"/>
        <v>1489.5</v>
      </c>
      <c r="AP54" s="76">
        <f t="shared" si="23"/>
        <v>0</v>
      </c>
      <c r="AQ54" s="76">
        <f t="shared" si="23"/>
        <v>51182.95</v>
      </c>
      <c r="AR54" s="76">
        <f t="shared" si="23"/>
        <v>0</v>
      </c>
      <c r="AS54" s="76">
        <f t="shared" si="23"/>
        <v>0</v>
      </c>
      <c r="AT54" s="76">
        <f t="shared" si="23"/>
        <v>0</v>
      </c>
      <c r="AU54" s="76">
        <f t="shared" si="23"/>
        <v>42403.45</v>
      </c>
      <c r="AV54" s="76">
        <f t="shared" si="23"/>
        <v>9660</v>
      </c>
      <c r="AW54" s="76">
        <f t="shared" si="23"/>
        <v>0</v>
      </c>
      <c r="AX54" s="76">
        <f t="shared" si="23"/>
        <v>0</v>
      </c>
      <c r="AY54" s="76">
        <f t="shared" si="23"/>
        <v>0</v>
      </c>
      <c r="AZ54" s="76">
        <f t="shared" si="23"/>
        <v>0</v>
      </c>
      <c r="BA54" s="76">
        <f t="shared" si="23"/>
        <v>0</v>
      </c>
      <c r="BB54" s="76">
        <f t="shared" si="23"/>
        <v>0</v>
      </c>
      <c r="BC54" s="76">
        <f t="shared" si="23"/>
        <v>0</v>
      </c>
      <c r="BD54" s="76">
        <f t="shared" si="23"/>
        <v>2662318.7500000009</v>
      </c>
      <c r="BE54" s="76">
        <f t="shared" si="23"/>
        <v>0</v>
      </c>
      <c r="BF54" s="76">
        <f t="shared" si="23"/>
        <v>2557582.8500000006</v>
      </c>
      <c r="BG54" s="76">
        <f t="shared" si="23"/>
        <v>104735.9</v>
      </c>
    </row>
    <row r="55" spans="2:59"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431034.7</v>
      </c>
      <c r="Y55" s="13">
        <v>0</v>
      </c>
      <c r="Z55" s="13">
        <v>585449.4</v>
      </c>
      <c r="AA55" s="13">
        <v>170811.85</v>
      </c>
      <c r="AB55" s="13">
        <v>157177.60000000001</v>
      </c>
      <c r="AC55" s="13">
        <v>0</v>
      </c>
      <c r="AD55" s="13">
        <v>249241</v>
      </c>
      <c r="AE55" s="13">
        <v>609148.6</v>
      </c>
      <c r="AF55" s="13">
        <v>351855.7</v>
      </c>
      <c r="AG55" s="13">
        <v>0</v>
      </c>
      <c r="AH55" s="13">
        <v>2864</v>
      </c>
      <c r="AI55" s="13">
        <v>0</v>
      </c>
      <c r="AJ55" s="13">
        <v>0</v>
      </c>
      <c r="AK55" s="13">
        <v>0</v>
      </c>
      <c r="AL55" s="13">
        <v>0</v>
      </c>
      <c r="AM55" s="13">
        <v>0</v>
      </c>
      <c r="AN55" s="13">
        <v>0</v>
      </c>
      <c r="AO55" s="13">
        <v>1489.5</v>
      </c>
      <c r="AP55" s="13">
        <v>0</v>
      </c>
      <c r="AQ55" s="13">
        <v>51182.95</v>
      </c>
      <c r="AR55" s="13">
        <v>0</v>
      </c>
      <c r="AS55" s="13">
        <v>0</v>
      </c>
      <c r="AT55" s="13">
        <v>0</v>
      </c>
      <c r="AU55" s="13">
        <v>42403.45</v>
      </c>
      <c r="AV55" s="13">
        <v>9660</v>
      </c>
      <c r="AW55" s="13">
        <v>0</v>
      </c>
      <c r="AX55" s="13">
        <v>0</v>
      </c>
      <c r="AY55" s="13">
        <v>0</v>
      </c>
      <c r="AZ55" s="13">
        <v>0</v>
      </c>
      <c r="BA55" s="13">
        <v>0</v>
      </c>
      <c r="BB55" s="13">
        <v>0</v>
      </c>
      <c r="BC55" s="13">
        <v>0</v>
      </c>
      <c r="BD55" s="13">
        <f>SUM(E55:BC55)</f>
        <v>2662318.7500000009</v>
      </c>
      <c r="BE55" s="13">
        <f>SUM(E55:W55)</f>
        <v>0</v>
      </c>
      <c r="BF55" s="13">
        <f>SUM(X55:AI55)</f>
        <v>2557582.8500000006</v>
      </c>
      <c r="BG55" s="13">
        <f>SUM(AJ55:BC55)</f>
        <v>104735.9</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13025.5</v>
      </c>
      <c r="F57" s="76">
        <f t="shared" ref="F57:BG57" si="24">F58+F59+F60+F61+F62+F63</f>
        <v>0</v>
      </c>
      <c r="G57" s="76">
        <f t="shared" si="24"/>
        <v>0</v>
      </c>
      <c r="H57" s="76">
        <f t="shared" si="24"/>
        <v>341</v>
      </c>
      <c r="I57" s="76">
        <f t="shared" si="24"/>
        <v>150011.70000000001</v>
      </c>
      <c r="J57" s="76">
        <f t="shared" si="24"/>
        <v>191759.86</v>
      </c>
      <c r="K57" s="76">
        <f t="shared" si="24"/>
        <v>900000</v>
      </c>
      <c r="L57" s="76">
        <f t="shared" si="24"/>
        <v>0</v>
      </c>
      <c r="M57" s="76">
        <f t="shared" si="24"/>
        <v>0</v>
      </c>
      <c r="N57" s="76">
        <f t="shared" si="24"/>
        <v>0</v>
      </c>
      <c r="O57" s="76">
        <f t="shared" si="24"/>
        <v>0</v>
      </c>
      <c r="P57" s="76">
        <f t="shared" si="24"/>
        <v>0</v>
      </c>
      <c r="Q57" s="76">
        <f t="shared" si="24"/>
        <v>0</v>
      </c>
      <c r="R57" s="76">
        <f t="shared" si="24"/>
        <v>130000</v>
      </c>
      <c r="S57" s="76">
        <f t="shared" si="24"/>
        <v>0</v>
      </c>
      <c r="T57" s="76">
        <f t="shared" si="24"/>
        <v>0</v>
      </c>
      <c r="U57" s="76">
        <f t="shared" si="24"/>
        <v>20000</v>
      </c>
      <c r="V57" s="76">
        <f t="shared" si="24"/>
        <v>30000</v>
      </c>
      <c r="W57" s="76">
        <f t="shared" si="24"/>
        <v>500000</v>
      </c>
      <c r="X57" s="76">
        <f t="shared" si="24"/>
        <v>0</v>
      </c>
      <c r="Y57" s="76">
        <f t="shared" si="24"/>
        <v>0</v>
      </c>
      <c r="Z57" s="76">
        <f t="shared" si="24"/>
        <v>3397569.32</v>
      </c>
      <c r="AA57" s="76">
        <f t="shared" si="24"/>
        <v>0</v>
      </c>
      <c r="AB57" s="76">
        <f t="shared" si="24"/>
        <v>0</v>
      </c>
      <c r="AC57" s="76">
        <f t="shared" si="24"/>
        <v>371205.37</v>
      </c>
      <c r="AD57" s="76">
        <f t="shared" si="24"/>
        <v>0</v>
      </c>
      <c r="AE57" s="76">
        <f t="shared" si="24"/>
        <v>460000</v>
      </c>
      <c r="AF57" s="76">
        <f t="shared" si="24"/>
        <v>0</v>
      </c>
      <c r="AG57" s="76">
        <f t="shared" si="24"/>
        <v>900000</v>
      </c>
      <c r="AH57" s="76">
        <f t="shared" si="24"/>
        <v>0</v>
      </c>
      <c r="AI57" s="76">
        <f t="shared" si="24"/>
        <v>80000</v>
      </c>
      <c r="AJ57" s="76">
        <f t="shared" si="24"/>
        <v>470300.7</v>
      </c>
      <c r="AK57" s="76">
        <f t="shared" si="24"/>
        <v>723729.2</v>
      </c>
      <c r="AL57" s="76">
        <f t="shared" si="24"/>
        <v>0</v>
      </c>
      <c r="AM57" s="76">
        <f t="shared" si="24"/>
        <v>15690.5</v>
      </c>
      <c r="AN57" s="76">
        <f t="shared" si="24"/>
        <v>2170000</v>
      </c>
      <c r="AO57" s="76">
        <f t="shared" si="24"/>
        <v>0</v>
      </c>
      <c r="AP57" s="76">
        <f t="shared" si="24"/>
        <v>250000</v>
      </c>
      <c r="AQ57" s="76">
        <f t="shared" si="24"/>
        <v>115000</v>
      </c>
      <c r="AR57" s="76">
        <f t="shared" si="24"/>
        <v>217.68</v>
      </c>
      <c r="AS57" s="76">
        <f t="shared" si="24"/>
        <v>0</v>
      </c>
      <c r="AT57" s="76">
        <f t="shared" si="24"/>
        <v>300000</v>
      </c>
      <c r="AU57" s="76">
        <f t="shared" si="24"/>
        <v>0</v>
      </c>
      <c r="AV57" s="76">
        <f t="shared" si="24"/>
        <v>200000</v>
      </c>
      <c r="AW57" s="76">
        <f t="shared" si="24"/>
        <v>0</v>
      </c>
      <c r="AX57" s="76">
        <f t="shared" si="24"/>
        <v>0</v>
      </c>
      <c r="AY57" s="76">
        <f t="shared" si="24"/>
        <v>250000</v>
      </c>
      <c r="AZ57" s="76">
        <f t="shared" si="24"/>
        <v>0</v>
      </c>
      <c r="BA57" s="76">
        <f t="shared" si="24"/>
        <v>0</v>
      </c>
      <c r="BB57" s="76">
        <f t="shared" si="24"/>
        <v>0</v>
      </c>
      <c r="BC57" s="76">
        <f t="shared" si="24"/>
        <v>80000</v>
      </c>
      <c r="BD57" s="76">
        <f t="shared" si="24"/>
        <v>11718850.829999998</v>
      </c>
      <c r="BE57" s="76">
        <f t="shared" si="24"/>
        <v>1935138.0599999998</v>
      </c>
      <c r="BF57" s="76">
        <f t="shared" si="24"/>
        <v>5208774.6899999995</v>
      </c>
      <c r="BG57" s="76">
        <f t="shared" si="24"/>
        <v>4574938.08</v>
      </c>
    </row>
    <row r="58" spans="2:5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f t="shared" ref="BD58:BD63" si="25">SUM(E58:BC58)</f>
        <v>0</v>
      </c>
      <c r="BE58" s="13">
        <f t="shared" ref="BE58:BE63" si="26">SUM(E58:W58)</f>
        <v>0</v>
      </c>
      <c r="BF58" s="13">
        <f t="shared" ref="BF58:BF63" si="27">SUM(X58:AI58)</f>
        <v>0</v>
      </c>
      <c r="BG58" s="13">
        <f t="shared" ref="BG58:BG63" si="28">SUM(AJ58:BC58)</f>
        <v>0</v>
      </c>
    </row>
    <row r="59" spans="2:59" x14ac:dyDescent="0.2">
      <c r="C59" s="8">
        <v>381</v>
      </c>
      <c r="D59" s="8" t="s">
        <v>119</v>
      </c>
      <c r="E59" s="13">
        <v>0</v>
      </c>
      <c r="F59" s="13">
        <v>0</v>
      </c>
      <c r="G59" s="13">
        <v>0</v>
      </c>
      <c r="H59" s="13">
        <v>341</v>
      </c>
      <c r="I59" s="13">
        <v>0</v>
      </c>
      <c r="J59" s="13">
        <v>1400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f t="shared" si="25"/>
        <v>1741</v>
      </c>
      <c r="BE59" s="13">
        <f t="shared" si="26"/>
        <v>1741</v>
      </c>
      <c r="BF59" s="13">
        <f t="shared" si="27"/>
        <v>0</v>
      </c>
      <c r="BG59" s="13">
        <f t="shared" si="28"/>
        <v>0</v>
      </c>
    </row>
    <row r="60" spans="2:59" x14ac:dyDescent="0.2">
      <c r="C60" s="8">
        <v>384</v>
      </c>
      <c r="D60" s="8" t="s">
        <v>120</v>
      </c>
      <c r="E60" s="13">
        <v>13025.5</v>
      </c>
      <c r="F60" s="13">
        <v>0</v>
      </c>
      <c r="G60" s="13">
        <v>0</v>
      </c>
      <c r="H60" s="13">
        <v>0</v>
      </c>
      <c r="I60" s="13">
        <v>11.7</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f t="shared" si="25"/>
        <v>13037.2</v>
      </c>
      <c r="BE60" s="13">
        <f t="shared" si="26"/>
        <v>13037.2</v>
      </c>
      <c r="BF60" s="13">
        <f t="shared" si="27"/>
        <v>0</v>
      </c>
      <c r="BG60" s="13">
        <f t="shared" si="28"/>
        <v>0</v>
      </c>
    </row>
    <row r="61" spans="2:5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f t="shared" si="25"/>
        <v>0</v>
      </c>
      <c r="BE61" s="13">
        <f t="shared" si="26"/>
        <v>0</v>
      </c>
      <c r="BF61" s="13">
        <f t="shared" si="27"/>
        <v>0</v>
      </c>
      <c r="BG61" s="13">
        <f t="shared" si="28"/>
        <v>0</v>
      </c>
    </row>
    <row r="62" spans="2:5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f t="shared" si="25"/>
        <v>0</v>
      </c>
      <c r="BE62" s="13">
        <f t="shared" si="26"/>
        <v>0</v>
      </c>
      <c r="BF62" s="13">
        <f t="shared" si="27"/>
        <v>0</v>
      </c>
      <c r="BG62" s="13">
        <f t="shared" si="28"/>
        <v>0</v>
      </c>
    </row>
    <row r="63" spans="2:59" x14ac:dyDescent="0.2">
      <c r="C63" s="8">
        <v>389</v>
      </c>
      <c r="D63" s="8" t="s">
        <v>286</v>
      </c>
      <c r="E63" s="13">
        <v>0</v>
      </c>
      <c r="F63" s="13">
        <v>0</v>
      </c>
      <c r="G63" s="13">
        <v>0</v>
      </c>
      <c r="H63" s="13">
        <v>0</v>
      </c>
      <c r="I63" s="13">
        <v>150000</v>
      </c>
      <c r="J63" s="13">
        <v>190359.86</v>
      </c>
      <c r="K63" s="13">
        <v>900000</v>
      </c>
      <c r="L63" s="13">
        <v>0</v>
      </c>
      <c r="M63" s="13">
        <v>0</v>
      </c>
      <c r="N63" s="13">
        <v>0</v>
      </c>
      <c r="O63" s="13">
        <v>0</v>
      </c>
      <c r="P63" s="13">
        <v>0</v>
      </c>
      <c r="Q63" s="13">
        <v>0</v>
      </c>
      <c r="R63" s="13">
        <v>130000</v>
      </c>
      <c r="S63" s="13">
        <v>0</v>
      </c>
      <c r="T63" s="13">
        <v>0</v>
      </c>
      <c r="U63" s="13">
        <v>20000</v>
      </c>
      <c r="V63" s="13">
        <v>30000</v>
      </c>
      <c r="W63" s="13">
        <v>500000</v>
      </c>
      <c r="X63" s="13">
        <v>0</v>
      </c>
      <c r="Y63" s="13">
        <v>0</v>
      </c>
      <c r="Z63" s="13">
        <v>3397569.32</v>
      </c>
      <c r="AA63" s="13">
        <v>0</v>
      </c>
      <c r="AB63" s="13">
        <v>0</v>
      </c>
      <c r="AC63" s="13">
        <v>371205.37</v>
      </c>
      <c r="AD63" s="13">
        <v>0</v>
      </c>
      <c r="AE63" s="13">
        <v>460000</v>
      </c>
      <c r="AF63" s="13">
        <v>0</v>
      </c>
      <c r="AG63" s="13">
        <v>900000</v>
      </c>
      <c r="AH63" s="13">
        <v>0</v>
      </c>
      <c r="AI63" s="13">
        <v>80000</v>
      </c>
      <c r="AJ63" s="13">
        <v>470300.7</v>
      </c>
      <c r="AK63" s="13">
        <v>723729.2</v>
      </c>
      <c r="AL63" s="13">
        <v>0</v>
      </c>
      <c r="AM63" s="13">
        <v>15690.5</v>
      </c>
      <c r="AN63" s="13">
        <v>2170000</v>
      </c>
      <c r="AO63" s="13">
        <v>0</v>
      </c>
      <c r="AP63" s="13">
        <v>250000</v>
      </c>
      <c r="AQ63" s="13">
        <v>115000</v>
      </c>
      <c r="AR63" s="13">
        <v>217.68</v>
      </c>
      <c r="AS63" s="13">
        <v>0</v>
      </c>
      <c r="AT63" s="13">
        <v>300000</v>
      </c>
      <c r="AU63" s="13">
        <v>0</v>
      </c>
      <c r="AV63" s="13">
        <v>200000</v>
      </c>
      <c r="AW63" s="13">
        <v>0</v>
      </c>
      <c r="AX63" s="13">
        <v>0</v>
      </c>
      <c r="AY63" s="13">
        <v>250000</v>
      </c>
      <c r="AZ63" s="13">
        <v>0</v>
      </c>
      <c r="BA63" s="13">
        <v>0</v>
      </c>
      <c r="BB63" s="13">
        <v>0</v>
      </c>
      <c r="BC63" s="13">
        <v>80000</v>
      </c>
      <c r="BD63" s="13">
        <f t="shared" si="25"/>
        <v>11704072.629999999</v>
      </c>
      <c r="BE63" s="13">
        <f t="shared" si="26"/>
        <v>1920359.8599999999</v>
      </c>
      <c r="BF63" s="13">
        <f t="shared" si="27"/>
        <v>5208774.6899999995</v>
      </c>
      <c r="BG63" s="13">
        <f t="shared" si="28"/>
        <v>4574938.08</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29">F66+F67+F68+F69+F70+F71+F72+F73</f>
        <v>27370.260000000002</v>
      </c>
      <c r="G65" s="76">
        <f t="shared" si="29"/>
        <v>6509.25</v>
      </c>
      <c r="H65" s="76">
        <f t="shared" si="29"/>
        <v>55508.800000000003</v>
      </c>
      <c r="I65" s="76">
        <f t="shared" si="29"/>
        <v>319450</v>
      </c>
      <c r="J65" s="76">
        <f t="shared" si="29"/>
        <v>91570</v>
      </c>
      <c r="K65" s="76">
        <f t="shared" si="29"/>
        <v>216161.1</v>
      </c>
      <c r="L65" s="76">
        <f t="shared" si="29"/>
        <v>5081197.18</v>
      </c>
      <c r="M65" s="76">
        <f t="shared" si="29"/>
        <v>91691.56</v>
      </c>
      <c r="N65" s="76">
        <f t="shared" si="29"/>
        <v>0</v>
      </c>
      <c r="O65" s="76">
        <f t="shared" si="29"/>
        <v>317089.40000000002</v>
      </c>
      <c r="P65" s="76">
        <f t="shared" si="29"/>
        <v>13217.6</v>
      </c>
      <c r="Q65" s="76">
        <f t="shared" si="29"/>
        <v>0</v>
      </c>
      <c r="R65" s="76">
        <f t="shared" si="29"/>
        <v>69791.649999999994</v>
      </c>
      <c r="S65" s="76">
        <f t="shared" si="29"/>
        <v>0</v>
      </c>
      <c r="T65" s="76">
        <f t="shared" si="29"/>
        <v>0</v>
      </c>
      <c r="U65" s="76">
        <f t="shared" si="29"/>
        <v>0</v>
      </c>
      <c r="V65" s="76">
        <f t="shared" si="29"/>
        <v>73000</v>
      </c>
      <c r="W65" s="76">
        <f t="shared" si="29"/>
        <v>118800</v>
      </c>
      <c r="X65" s="76">
        <f t="shared" si="29"/>
        <v>0</v>
      </c>
      <c r="Y65" s="76">
        <f t="shared" si="29"/>
        <v>0</v>
      </c>
      <c r="Z65" s="76">
        <f t="shared" si="29"/>
        <v>551427</v>
      </c>
      <c r="AA65" s="76">
        <f t="shared" si="29"/>
        <v>0</v>
      </c>
      <c r="AB65" s="76">
        <f t="shared" si="29"/>
        <v>0</v>
      </c>
      <c r="AC65" s="76">
        <f t="shared" si="29"/>
        <v>44455.9</v>
      </c>
      <c r="AD65" s="76">
        <f t="shared" si="29"/>
        <v>11819</v>
      </c>
      <c r="AE65" s="76">
        <f t="shared" si="29"/>
        <v>105587.15</v>
      </c>
      <c r="AF65" s="76">
        <f t="shared" si="29"/>
        <v>14579.45</v>
      </c>
      <c r="AG65" s="76">
        <f t="shared" si="29"/>
        <v>30900</v>
      </c>
      <c r="AH65" s="76">
        <f t="shared" si="29"/>
        <v>0</v>
      </c>
      <c r="AI65" s="76">
        <f t="shared" si="29"/>
        <v>0</v>
      </c>
      <c r="AJ65" s="76">
        <f t="shared" si="29"/>
        <v>93000</v>
      </c>
      <c r="AK65" s="76">
        <f t="shared" si="29"/>
        <v>56246.85</v>
      </c>
      <c r="AL65" s="76">
        <f t="shared" si="29"/>
        <v>2993.7</v>
      </c>
      <c r="AM65" s="76">
        <f t="shared" si="29"/>
        <v>11541.94</v>
      </c>
      <c r="AN65" s="76">
        <f t="shared" si="29"/>
        <v>37093.449999999997</v>
      </c>
      <c r="AO65" s="76">
        <f t="shared" si="29"/>
        <v>98947.05</v>
      </c>
      <c r="AP65" s="76">
        <f t="shared" si="29"/>
        <v>0</v>
      </c>
      <c r="AQ65" s="76">
        <f t="shared" si="29"/>
        <v>0</v>
      </c>
      <c r="AR65" s="76">
        <f t="shared" si="29"/>
        <v>50915.37</v>
      </c>
      <c r="AS65" s="76">
        <f t="shared" si="29"/>
        <v>53582.2</v>
      </c>
      <c r="AT65" s="76">
        <f t="shared" si="29"/>
        <v>2000</v>
      </c>
      <c r="AU65" s="76">
        <f t="shared" si="29"/>
        <v>136589.6</v>
      </c>
      <c r="AV65" s="76">
        <f t="shared" si="29"/>
        <v>0</v>
      </c>
      <c r="AW65" s="76">
        <f t="shared" si="29"/>
        <v>7519.65</v>
      </c>
      <c r="AX65" s="76">
        <f t="shared" si="29"/>
        <v>0</v>
      </c>
      <c r="AY65" s="76">
        <f t="shared" si="29"/>
        <v>108882.25</v>
      </c>
      <c r="AZ65" s="76">
        <f t="shared" si="29"/>
        <v>0</v>
      </c>
      <c r="BA65" s="76">
        <f t="shared" si="29"/>
        <v>47620.45</v>
      </c>
      <c r="BB65" s="76">
        <f t="shared" si="29"/>
        <v>0</v>
      </c>
      <c r="BC65" s="76">
        <f t="shared" si="29"/>
        <v>15500</v>
      </c>
      <c r="BD65" s="76">
        <f t="shared" si="29"/>
        <v>7962557.8100000005</v>
      </c>
      <c r="BE65" s="76">
        <f t="shared" si="29"/>
        <v>6481356.7999999989</v>
      </c>
      <c r="BF65" s="76">
        <f t="shared" si="29"/>
        <v>758768.5</v>
      </c>
      <c r="BG65" s="76">
        <f t="shared" si="29"/>
        <v>722432.51</v>
      </c>
    </row>
    <row r="66" spans="1:59" x14ac:dyDescent="0.2">
      <c r="C66" s="8">
        <v>390</v>
      </c>
      <c r="D66" s="8" t="s">
        <v>125</v>
      </c>
      <c r="E66" s="13">
        <v>0</v>
      </c>
      <c r="F66" s="13">
        <v>200</v>
      </c>
      <c r="G66" s="13">
        <v>0</v>
      </c>
      <c r="H66" s="13">
        <v>0</v>
      </c>
      <c r="I66" s="13">
        <v>0</v>
      </c>
      <c r="J66" s="13">
        <v>0</v>
      </c>
      <c r="K66" s="13">
        <v>0</v>
      </c>
      <c r="L66" s="13">
        <v>165000</v>
      </c>
      <c r="M66" s="13">
        <v>1200</v>
      </c>
      <c r="N66" s="13">
        <v>0</v>
      </c>
      <c r="O66" s="13">
        <v>83159.399999999994</v>
      </c>
      <c r="P66" s="13">
        <v>0</v>
      </c>
      <c r="Q66" s="13">
        <v>0</v>
      </c>
      <c r="R66" s="13">
        <v>0</v>
      </c>
      <c r="S66" s="13">
        <v>0</v>
      </c>
      <c r="T66" s="13">
        <v>0</v>
      </c>
      <c r="U66" s="13">
        <v>0</v>
      </c>
      <c r="V66" s="13">
        <v>0</v>
      </c>
      <c r="W66" s="13">
        <v>15000</v>
      </c>
      <c r="X66" s="13">
        <v>0</v>
      </c>
      <c r="Y66" s="13">
        <v>0</v>
      </c>
      <c r="Z66" s="13">
        <v>467427</v>
      </c>
      <c r="AA66" s="13">
        <v>0</v>
      </c>
      <c r="AB66" s="13">
        <v>0</v>
      </c>
      <c r="AC66" s="13">
        <v>1350</v>
      </c>
      <c r="AD66" s="13">
        <v>0</v>
      </c>
      <c r="AE66" s="13">
        <v>0</v>
      </c>
      <c r="AF66" s="13">
        <v>5860.55</v>
      </c>
      <c r="AG66" s="13">
        <v>0</v>
      </c>
      <c r="AH66" s="13">
        <v>0</v>
      </c>
      <c r="AI66" s="13">
        <v>0</v>
      </c>
      <c r="AJ66" s="13">
        <v>0</v>
      </c>
      <c r="AK66" s="13">
        <v>0</v>
      </c>
      <c r="AL66" s="13">
        <v>0</v>
      </c>
      <c r="AM66" s="13">
        <v>0</v>
      </c>
      <c r="AN66" s="13">
        <v>0</v>
      </c>
      <c r="AO66" s="13">
        <v>800</v>
      </c>
      <c r="AP66" s="13">
        <v>0</v>
      </c>
      <c r="AQ66" s="13">
        <v>0</v>
      </c>
      <c r="AR66" s="13">
        <v>0</v>
      </c>
      <c r="AS66" s="13">
        <v>0</v>
      </c>
      <c r="AT66" s="13">
        <v>0</v>
      </c>
      <c r="AU66" s="13">
        <v>0</v>
      </c>
      <c r="AV66" s="13">
        <v>0</v>
      </c>
      <c r="AW66" s="13">
        <v>0</v>
      </c>
      <c r="AX66" s="13">
        <v>0</v>
      </c>
      <c r="AY66" s="13">
        <v>0</v>
      </c>
      <c r="AZ66" s="13">
        <v>0</v>
      </c>
      <c r="BA66" s="13">
        <v>0</v>
      </c>
      <c r="BB66" s="13">
        <v>0</v>
      </c>
      <c r="BC66" s="13">
        <v>0</v>
      </c>
      <c r="BD66" s="13">
        <f t="shared" ref="BD66:BD73" si="30">SUM(E66:BC66)</f>
        <v>739996.95000000007</v>
      </c>
      <c r="BE66" s="13">
        <f t="shared" ref="BE66:BE73" si="31">SUM(E66:W66)</f>
        <v>264559.40000000002</v>
      </c>
      <c r="BF66" s="13">
        <f t="shared" ref="BF66:BF73" si="32">SUM(X66:AI66)</f>
        <v>474637.55</v>
      </c>
      <c r="BG66" s="13">
        <f t="shared" ref="BG66:BG73" si="33">SUM(AJ66:BC66)</f>
        <v>800</v>
      </c>
    </row>
    <row r="67" spans="1:59" x14ac:dyDescent="0.2">
      <c r="C67" s="8">
        <v>391</v>
      </c>
      <c r="D67" s="8" t="s">
        <v>126</v>
      </c>
      <c r="E67" s="13">
        <v>0</v>
      </c>
      <c r="F67" s="13">
        <v>5207.3500000000004</v>
      </c>
      <c r="G67" s="13">
        <v>4579</v>
      </c>
      <c r="H67" s="13">
        <v>55152.800000000003</v>
      </c>
      <c r="I67" s="13">
        <v>8500</v>
      </c>
      <c r="J67" s="13">
        <v>91570</v>
      </c>
      <c r="K67" s="13">
        <v>123955</v>
      </c>
      <c r="L67" s="13">
        <v>1558160.15</v>
      </c>
      <c r="M67" s="13">
        <v>59255.15</v>
      </c>
      <c r="N67" s="13">
        <v>0</v>
      </c>
      <c r="O67" s="13">
        <v>233930</v>
      </c>
      <c r="P67" s="13">
        <v>13217.6</v>
      </c>
      <c r="Q67" s="13">
        <v>0</v>
      </c>
      <c r="R67" s="13">
        <v>69791.649999999994</v>
      </c>
      <c r="S67" s="13">
        <v>0</v>
      </c>
      <c r="T67" s="13">
        <v>0</v>
      </c>
      <c r="U67" s="13">
        <v>0</v>
      </c>
      <c r="V67" s="13">
        <v>73000</v>
      </c>
      <c r="W67" s="13">
        <v>92400</v>
      </c>
      <c r="X67" s="13">
        <v>0</v>
      </c>
      <c r="Y67" s="13">
        <v>0</v>
      </c>
      <c r="Z67" s="13">
        <v>0</v>
      </c>
      <c r="AA67" s="13">
        <v>0</v>
      </c>
      <c r="AB67" s="13">
        <v>0</v>
      </c>
      <c r="AC67" s="13">
        <v>43105.9</v>
      </c>
      <c r="AD67" s="13">
        <v>11819</v>
      </c>
      <c r="AE67" s="13">
        <v>105587.15</v>
      </c>
      <c r="AF67" s="13">
        <v>8718.9</v>
      </c>
      <c r="AG67" s="13">
        <v>30900</v>
      </c>
      <c r="AH67" s="13">
        <v>0</v>
      </c>
      <c r="AI67" s="13">
        <v>0</v>
      </c>
      <c r="AJ67" s="13">
        <v>93000</v>
      </c>
      <c r="AK67" s="13">
        <v>0</v>
      </c>
      <c r="AL67" s="13">
        <v>2993.7</v>
      </c>
      <c r="AM67" s="13">
        <v>11541.94</v>
      </c>
      <c r="AN67" s="13">
        <v>37093.449999999997</v>
      </c>
      <c r="AO67" s="13">
        <v>64038.9</v>
      </c>
      <c r="AP67" s="13">
        <v>0</v>
      </c>
      <c r="AQ67" s="13">
        <v>0</v>
      </c>
      <c r="AR67" s="13">
        <v>0</v>
      </c>
      <c r="AS67" s="13">
        <v>53582.2</v>
      </c>
      <c r="AT67" s="13">
        <v>2000</v>
      </c>
      <c r="AU67" s="13">
        <v>136589.6</v>
      </c>
      <c r="AV67" s="13">
        <v>0</v>
      </c>
      <c r="AW67" s="13">
        <v>0</v>
      </c>
      <c r="AX67" s="13">
        <v>0</v>
      </c>
      <c r="AY67" s="13">
        <v>101282.25</v>
      </c>
      <c r="AZ67" s="13">
        <v>0</v>
      </c>
      <c r="BA67" s="13">
        <v>47620.45</v>
      </c>
      <c r="BB67" s="13">
        <v>0</v>
      </c>
      <c r="BC67" s="13">
        <v>15500</v>
      </c>
      <c r="BD67" s="13">
        <f t="shared" si="30"/>
        <v>3154092.14</v>
      </c>
      <c r="BE67" s="13">
        <f t="shared" si="31"/>
        <v>2388718.6999999997</v>
      </c>
      <c r="BF67" s="13">
        <f t="shared" si="32"/>
        <v>200130.94999999998</v>
      </c>
      <c r="BG67" s="13">
        <f t="shared" si="33"/>
        <v>565242.49</v>
      </c>
    </row>
    <row r="68" spans="1:59" x14ac:dyDescent="0.2">
      <c r="C68" s="8">
        <v>392</v>
      </c>
      <c r="D68" s="8" t="s">
        <v>127</v>
      </c>
      <c r="E68" s="13">
        <v>0</v>
      </c>
      <c r="F68" s="13">
        <v>0</v>
      </c>
      <c r="G68" s="13">
        <v>0</v>
      </c>
      <c r="H68" s="13">
        <v>0</v>
      </c>
      <c r="I68" s="13">
        <v>0</v>
      </c>
      <c r="J68" s="13">
        <v>0</v>
      </c>
      <c r="K68" s="13">
        <v>0</v>
      </c>
      <c r="L68" s="13">
        <v>120000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f t="shared" si="30"/>
        <v>204000</v>
      </c>
      <c r="BE68" s="13">
        <f t="shared" si="31"/>
        <v>120000</v>
      </c>
      <c r="BF68" s="13">
        <f t="shared" si="32"/>
        <v>84000</v>
      </c>
      <c r="BG68" s="13">
        <f t="shared" si="33"/>
        <v>0</v>
      </c>
    </row>
    <row r="69" spans="1:59" x14ac:dyDescent="0.2">
      <c r="C69" s="8">
        <v>393</v>
      </c>
      <c r="D69" s="8" t="s">
        <v>128</v>
      </c>
      <c r="E69" s="13">
        <v>0</v>
      </c>
      <c r="F69" s="13">
        <v>0</v>
      </c>
      <c r="G69" s="13">
        <v>1930.25</v>
      </c>
      <c r="H69" s="13">
        <v>0</v>
      </c>
      <c r="I69" s="13">
        <v>0</v>
      </c>
      <c r="J69" s="13">
        <v>0</v>
      </c>
      <c r="K69" s="13">
        <v>15054</v>
      </c>
      <c r="L69" s="13">
        <v>0</v>
      </c>
      <c r="M69" s="13">
        <v>0</v>
      </c>
      <c r="N69" s="13">
        <v>0</v>
      </c>
      <c r="O69" s="13">
        <v>0</v>
      </c>
      <c r="P69" s="13">
        <v>0</v>
      </c>
      <c r="Q69" s="13">
        <v>0</v>
      </c>
      <c r="R69" s="13">
        <v>0</v>
      </c>
      <c r="S69" s="13">
        <v>0</v>
      </c>
      <c r="T69" s="13">
        <v>0</v>
      </c>
      <c r="U69" s="13">
        <v>0</v>
      </c>
      <c r="V69" s="13">
        <v>0</v>
      </c>
      <c r="W69" s="13">
        <v>6000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1000</v>
      </c>
      <c r="AS69" s="13">
        <v>0</v>
      </c>
      <c r="AT69" s="13">
        <v>0</v>
      </c>
      <c r="AU69" s="13">
        <v>0</v>
      </c>
      <c r="AV69" s="13">
        <v>0</v>
      </c>
      <c r="AW69" s="13">
        <v>0</v>
      </c>
      <c r="AX69" s="13">
        <v>0</v>
      </c>
      <c r="AY69" s="13">
        <v>0</v>
      </c>
      <c r="AZ69" s="13">
        <v>0</v>
      </c>
      <c r="BA69" s="13">
        <v>0</v>
      </c>
      <c r="BB69" s="13">
        <v>0</v>
      </c>
      <c r="BC69" s="13">
        <v>0</v>
      </c>
      <c r="BD69" s="13">
        <f t="shared" si="30"/>
        <v>23984.25</v>
      </c>
      <c r="BE69" s="13">
        <f t="shared" si="31"/>
        <v>22984.25</v>
      </c>
      <c r="BF69" s="13">
        <f t="shared" si="32"/>
        <v>0</v>
      </c>
      <c r="BG69" s="13">
        <f t="shared" si="33"/>
        <v>1000</v>
      </c>
    </row>
    <row r="70" spans="1:59" x14ac:dyDescent="0.2">
      <c r="C70" s="8">
        <v>394</v>
      </c>
      <c r="D70" s="8" t="s">
        <v>129</v>
      </c>
      <c r="E70" s="13">
        <v>0</v>
      </c>
      <c r="F70" s="13">
        <v>21962.91</v>
      </c>
      <c r="G70" s="13">
        <v>0</v>
      </c>
      <c r="H70" s="13">
        <v>0</v>
      </c>
      <c r="I70" s="13">
        <v>310950</v>
      </c>
      <c r="J70" s="13">
        <v>0</v>
      </c>
      <c r="K70" s="13">
        <v>77152.100000000006</v>
      </c>
      <c r="L70" s="13">
        <v>820982</v>
      </c>
      <c r="M70" s="13">
        <v>31236.41</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56246.85</v>
      </c>
      <c r="AL70" s="13">
        <v>0</v>
      </c>
      <c r="AM70" s="13">
        <v>0</v>
      </c>
      <c r="AN70" s="13">
        <v>0</v>
      </c>
      <c r="AO70" s="13">
        <v>34108.15</v>
      </c>
      <c r="AP70" s="13">
        <v>0</v>
      </c>
      <c r="AQ70" s="13">
        <v>0</v>
      </c>
      <c r="AR70" s="13">
        <v>49915.37</v>
      </c>
      <c r="AS70" s="13">
        <v>0</v>
      </c>
      <c r="AT70" s="13">
        <v>0</v>
      </c>
      <c r="AU70" s="13">
        <v>0</v>
      </c>
      <c r="AV70" s="13">
        <v>0</v>
      </c>
      <c r="AW70" s="13">
        <v>7519.65</v>
      </c>
      <c r="AX70" s="13">
        <v>0</v>
      </c>
      <c r="AY70" s="13">
        <v>0</v>
      </c>
      <c r="AZ70" s="13">
        <v>0</v>
      </c>
      <c r="BA70" s="13">
        <v>0</v>
      </c>
      <c r="BB70" s="13">
        <v>0</v>
      </c>
      <c r="BC70" s="13">
        <v>0</v>
      </c>
      <c r="BD70" s="13">
        <f t="shared" si="30"/>
        <v>1410073.44</v>
      </c>
      <c r="BE70" s="13">
        <f t="shared" si="31"/>
        <v>1262283.42</v>
      </c>
      <c r="BF70" s="13">
        <f t="shared" si="32"/>
        <v>0</v>
      </c>
      <c r="BG70" s="13">
        <f t="shared" si="33"/>
        <v>147790.01999999999</v>
      </c>
    </row>
    <row r="71" spans="1:59" x14ac:dyDescent="0.2">
      <c r="C71" s="8">
        <v>395</v>
      </c>
      <c r="D71" s="8" t="s">
        <v>130</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f t="shared" si="30"/>
        <v>356</v>
      </c>
      <c r="BE71" s="13">
        <f t="shared" si="31"/>
        <v>356</v>
      </c>
      <c r="BF71" s="13">
        <f t="shared" si="32"/>
        <v>0</v>
      </c>
      <c r="BG71" s="13">
        <f t="shared" si="33"/>
        <v>0</v>
      </c>
    </row>
    <row r="72" spans="1:59" x14ac:dyDescent="0.2">
      <c r="C72" s="8">
        <v>398</v>
      </c>
      <c r="D72" s="8" t="s">
        <v>188</v>
      </c>
      <c r="E72" s="13">
        <v>0</v>
      </c>
      <c r="F72" s="13">
        <v>0</v>
      </c>
      <c r="G72" s="13">
        <v>0</v>
      </c>
      <c r="H72" s="13">
        <v>0</v>
      </c>
      <c r="I72" s="13">
        <v>0</v>
      </c>
      <c r="J72" s="13">
        <v>0</v>
      </c>
      <c r="K72" s="13">
        <v>0</v>
      </c>
      <c r="L72" s="13">
        <v>2417055.0299999998</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f t="shared" si="30"/>
        <v>2417055.0299999998</v>
      </c>
      <c r="BE72" s="13">
        <f t="shared" si="31"/>
        <v>2417055.0299999998</v>
      </c>
      <c r="BF72" s="13">
        <f t="shared" si="32"/>
        <v>0</v>
      </c>
      <c r="BG72" s="13">
        <f t="shared" si="33"/>
        <v>0</v>
      </c>
    </row>
    <row r="73" spans="1:59" x14ac:dyDescent="0.2">
      <c r="C73" s="8">
        <v>399</v>
      </c>
      <c r="D73" s="8" t="s">
        <v>132</v>
      </c>
      <c r="E73" s="13">
        <v>0</v>
      </c>
      <c r="F73" s="13">
        <v>0</v>
      </c>
      <c r="G73" s="13">
        <v>0</v>
      </c>
      <c r="H73" s="13">
        <v>0</v>
      </c>
      <c r="I73" s="13">
        <v>0</v>
      </c>
      <c r="J73" s="13">
        <v>0</v>
      </c>
      <c r="K73" s="13"/>
      <c r="L73" s="13">
        <v>0</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7600</v>
      </c>
      <c r="AZ73" s="13">
        <v>0</v>
      </c>
      <c r="BA73" s="13">
        <v>0</v>
      </c>
      <c r="BB73" s="13">
        <v>0</v>
      </c>
      <c r="BC73" s="13">
        <v>0</v>
      </c>
      <c r="BD73" s="13">
        <f t="shared" si="30"/>
        <v>13000</v>
      </c>
      <c r="BE73" s="13">
        <f t="shared" si="31"/>
        <v>5400</v>
      </c>
      <c r="BF73" s="13">
        <f t="shared" si="32"/>
        <v>0</v>
      </c>
      <c r="BG73" s="13">
        <f t="shared" si="33"/>
        <v>7600</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4173515.8</v>
      </c>
      <c r="F76" s="15">
        <f t="shared" ref="F76:BG76" si="34">F77+F83+F89+F100+F106+F118+F122+F129+F132+F141</f>
        <v>1250774.7000000002</v>
      </c>
      <c r="G76" s="15">
        <f t="shared" si="34"/>
        <v>1723517.38</v>
      </c>
      <c r="H76" s="15">
        <f t="shared" si="34"/>
        <v>2249327.85</v>
      </c>
      <c r="I76" s="15">
        <f t="shared" si="34"/>
        <v>17577200.880000003</v>
      </c>
      <c r="J76" s="15">
        <f t="shared" si="34"/>
        <v>15225981.550000001</v>
      </c>
      <c r="K76" s="15">
        <f t="shared" si="34"/>
        <v>11966048.100000003</v>
      </c>
      <c r="L76" s="15">
        <f t="shared" si="34"/>
        <v>121245036.62</v>
      </c>
      <c r="M76" s="15">
        <f t="shared" si="34"/>
        <v>8604374.2700000014</v>
      </c>
      <c r="N76" s="15">
        <f t="shared" si="34"/>
        <v>521636.49000000005</v>
      </c>
      <c r="O76" s="15">
        <f t="shared" si="34"/>
        <v>29152374.52</v>
      </c>
      <c r="P76" s="15">
        <f t="shared" si="34"/>
        <v>2064231.6400000001</v>
      </c>
      <c r="Q76" s="15">
        <f t="shared" si="34"/>
        <v>385240.59</v>
      </c>
      <c r="R76" s="15">
        <f t="shared" si="34"/>
        <v>1838868.9400000002</v>
      </c>
      <c r="S76" s="15">
        <f t="shared" si="34"/>
        <v>1417234.0799999998</v>
      </c>
      <c r="T76" s="15">
        <f t="shared" si="34"/>
        <v>3407247.7600000002</v>
      </c>
      <c r="U76" s="15">
        <f t="shared" si="34"/>
        <v>1071762.5200000003</v>
      </c>
      <c r="V76" s="15">
        <f t="shared" si="34"/>
        <v>2502444.3600000003</v>
      </c>
      <c r="W76" s="15">
        <f t="shared" si="34"/>
        <v>12870647.150000002</v>
      </c>
      <c r="X76" s="15">
        <f t="shared" si="34"/>
        <v>2007494.0599999998</v>
      </c>
      <c r="Y76" s="15">
        <f t="shared" si="34"/>
        <v>7336082.8700000001</v>
      </c>
      <c r="Z76" s="15">
        <f t="shared" si="34"/>
        <v>19905517.039999995</v>
      </c>
      <c r="AA76" s="15">
        <f t="shared" si="34"/>
        <v>901751.94</v>
      </c>
      <c r="AB76" s="15">
        <f t="shared" si="34"/>
        <v>2574362.3800000004</v>
      </c>
      <c r="AC76" s="15">
        <f t="shared" si="34"/>
        <v>4057886.8399999989</v>
      </c>
      <c r="AD76" s="15">
        <f t="shared" si="34"/>
        <v>2880641.15</v>
      </c>
      <c r="AE76" s="15">
        <f t="shared" si="34"/>
        <v>4349355.290000001</v>
      </c>
      <c r="AF76" s="15">
        <f t="shared" si="34"/>
        <v>11582709.359999999</v>
      </c>
      <c r="AG76" s="15">
        <f t="shared" si="34"/>
        <v>13633060.380000003</v>
      </c>
      <c r="AH76" s="15">
        <f t="shared" si="34"/>
        <v>1094921.03</v>
      </c>
      <c r="AI76" s="15">
        <f t="shared" si="34"/>
        <v>701599.10000000009</v>
      </c>
      <c r="AJ76" s="15">
        <f t="shared" si="34"/>
        <v>8627823.7899999991</v>
      </c>
      <c r="AK76" s="15">
        <f t="shared" si="34"/>
        <v>6103839.5599999996</v>
      </c>
      <c r="AL76" s="15">
        <f t="shared" si="34"/>
        <v>5460977.8900000006</v>
      </c>
      <c r="AM76" s="15">
        <f t="shared" si="34"/>
        <v>667823.12999999989</v>
      </c>
      <c r="AN76" s="15">
        <f t="shared" si="34"/>
        <v>10602527.349999996</v>
      </c>
      <c r="AO76" s="15">
        <f t="shared" si="34"/>
        <v>3541524.79</v>
      </c>
      <c r="AP76" s="15">
        <f t="shared" si="34"/>
        <v>3077051.37</v>
      </c>
      <c r="AQ76" s="15">
        <f t="shared" si="34"/>
        <v>6892903.1800000006</v>
      </c>
      <c r="AR76" s="15">
        <f t="shared" si="34"/>
        <v>3216761.1700000004</v>
      </c>
      <c r="AS76" s="15">
        <f t="shared" si="34"/>
        <v>4898137.92</v>
      </c>
      <c r="AT76" s="15">
        <f t="shared" si="34"/>
        <v>1647193.4</v>
      </c>
      <c r="AU76" s="15">
        <f t="shared" si="34"/>
        <v>10691140.91</v>
      </c>
      <c r="AV76" s="15">
        <f t="shared" si="34"/>
        <v>3511456.46</v>
      </c>
      <c r="AW76" s="15">
        <f t="shared" si="34"/>
        <v>2022721.17</v>
      </c>
      <c r="AX76" s="15">
        <f t="shared" si="34"/>
        <v>1399248.07</v>
      </c>
      <c r="AY76" s="15">
        <f t="shared" si="34"/>
        <v>7544019.6200000001</v>
      </c>
      <c r="AZ76" s="15">
        <f t="shared" si="34"/>
        <v>1868386.9200000002</v>
      </c>
      <c r="BA76" s="15">
        <f t="shared" si="34"/>
        <v>5764344.9000000013</v>
      </c>
      <c r="BB76" s="15">
        <f t="shared" si="34"/>
        <v>42437275.769999996</v>
      </c>
      <c r="BC76" s="15">
        <f t="shared" si="34"/>
        <v>2649566.2800000003</v>
      </c>
      <c r="BD76" s="15">
        <f t="shared" si="34"/>
        <v>442897570.28999996</v>
      </c>
      <c r="BE76" s="15">
        <f t="shared" si="34"/>
        <v>239247465.19999999</v>
      </c>
      <c r="BF76" s="15">
        <f t="shared" si="34"/>
        <v>71025381.439999998</v>
      </c>
      <c r="BG76" s="15">
        <f t="shared" si="34"/>
        <v>132624723.65000002</v>
      </c>
    </row>
    <row r="77" spans="1:59" ht="15" x14ac:dyDescent="0.25">
      <c r="A77" s="7"/>
      <c r="B77" s="77">
        <v>40</v>
      </c>
      <c r="C77" s="77"/>
      <c r="D77" s="77" t="s">
        <v>76</v>
      </c>
      <c r="E77" s="78">
        <f>E78+E79+E80+E81</f>
        <v>2880010.86</v>
      </c>
      <c r="F77" s="78">
        <f t="shared" ref="F77:BG77" si="35">F78+F79+F80+F81</f>
        <v>723578.55</v>
      </c>
      <c r="G77" s="78">
        <f t="shared" si="35"/>
        <v>926754.04999999993</v>
      </c>
      <c r="H77" s="78">
        <f t="shared" si="35"/>
        <v>1094557.3199999998</v>
      </c>
      <c r="I77" s="78">
        <f t="shared" si="35"/>
        <v>9689490.0600000005</v>
      </c>
      <c r="J77" s="78">
        <f t="shared" si="35"/>
        <v>10053432.760000002</v>
      </c>
      <c r="K77" s="78">
        <f t="shared" si="35"/>
        <v>8417926.290000001</v>
      </c>
      <c r="L77" s="78">
        <f t="shared" si="35"/>
        <v>40830117.849999994</v>
      </c>
      <c r="M77" s="78">
        <f t="shared" si="35"/>
        <v>4114879.2800000003</v>
      </c>
      <c r="N77" s="78">
        <f t="shared" si="35"/>
        <v>269469.90000000002</v>
      </c>
      <c r="O77" s="78">
        <f t="shared" si="35"/>
        <v>19071742.23</v>
      </c>
      <c r="P77" s="78">
        <f t="shared" si="35"/>
        <v>1392530.19</v>
      </c>
      <c r="Q77" s="78">
        <f t="shared" si="35"/>
        <v>252330.30000000002</v>
      </c>
      <c r="R77" s="78">
        <f t="shared" si="35"/>
        <v>1066912.78</v>
      </c>
      <c r="S77" s="78">
        <f t="shared" si="35"/>
        <v>821009.74</v>
      </c>
      <c r="T77" s="78">
        <f t="shared" si="35"/>
        <v>2201747.4900000002</v>
      </c>
      <c r="U77" s="78">
        <f t="shared" si="35"/>
        <v>610247.9</v>
      </c>
      <c r="V77" s="78">
        <f t="shared" si="35"/>
        <v>1453989.44</v>
      </c>
      <c r="W77" s="78">
        <f t="shared" si="35"/>
        <v>8900331.9900000002</v>
      </c>
      <c r="X77" s="78">
        <f t="shared" si="35"/>
        <v>1011000.25</v>
      </c>
      <c r="Y77" s="78">
        <f t="shared" si="35"/>
        <v>5098724.05</v>
      </c>
      <c r="Z77" s="78">
        <f t="shared" si="35"/>
        <v>13763560.829999998</v>
      </c>
      <c r="AA77" s="78">
        <f t="shared" si="35"/>
        <v>347438.56000000006</v>
      </c>
      <c r="AB77" s="78">
        <f t="shared" si="35"/>
        <v>1320630.06</v>
      </c>
      <c r="AC77" s="78">
        <f t="shared" si="35"/>
        <v>2334085.4899999998</v>
      </c>
      <c r="AD77" s="78">
        <f t="shared" si="35"/>
        <v>1682328.21</v>
      </c>
      <c r="AE77" s="78">
        <f t="shared" si="35"/>
        <v>1867860.34</v>
      </c>
      <c r="AF77" s="78">
        <f t="shared" si="35"/>
        <v>7780785.620000001</v>
      </c>
      <c r="AG77" s="78">
        <f t="shared" si="35"/>
        <v>8471994.5200000014</v>
      </c>
      <c r="AH77" s="78">
        <f t="shared" si="35"/>
        <v>491690.56999999995</v>
      </c>
      <c r="AI77" s="78">
        <f t="shared" si="35"/>
        <v>428858.51</v>
      </c>
      <c r="AJ77" s="78">
        <f t="shared" si="35"/>
        <v>6067956.8200000003</v>
      </c>
      <c r="AK77" s="78">
        <f t="shared" si="35"/>
        <v>2750307.7999999993</v>
      </c>
      <c r="AL77" s="78">
        <f t="shared" si="35"/>
        <v>3093575.5400000005</v>
      </c>
      <c r="AM77" s="78">
        <f t="shared" si="35"/>
        <v>389962.85000000003</v>
      </c>
      <c r="AN77" s="78">
        <f t="shared" si="35"/>
        <v>8697892.7699999996</v>
      </c>
      <c r="AO77" s="78">
        <f t="shared" si="35"/>
        <v>1334921.4000000001</v>
      </c>
      <c r="AP77" s="78">
        <f t="shared" si="35"/>
        <v>2228269.4499999997</v>
      </c>
      <c r="AQ77" s="78">
        <f t="shared" si="35"/>
        <v>3240047.3399999994</v>
      </c>
      <c r="AR77" s="78">
        <f t="shared" si="35"/>
        <v>2009305.09</v>
      </c>
      <c r="AS77" s="78">
        <f t="shared" si="35"/>
        <v>2926452</v>
      </c>
      <c r="AT77" s="78">
        <f t="shared" si="35"/>
        <v>1040590.7999999999</v>
      </c>
      <c r="AU77" s="78">
        <f t="shared" si="35"/>
        <v>6917820.5499999998</v>
      </c>
      <c r="AV77" s="78">
        <f t="shared" si="35"/>
        <v>2631628.1900000004</v>
      </c>
      <c r="AW77" s="78">
        <f t="shared" si="35"/>
        <v>893075.08</v>
      </c>
      <c r="AX77" s="78">
        <f t="shared" si="35"/>
        <v>926009.18</v>
      </c>
      <c r="AY77" s="78">
        <f t="shared" si="35"/>
        <v>5438099.3099999996</v>
      </c>
      <c r="AZ77" s="78">
        <f t="shared" si="35"/>
        <v>913196.70000000007</v>
      </c>
      <c r="BA77" s="78">
        <f t="shared" si="35"/>
        <v>3463288.24</v>
      </c>
      <c r="BB77" s="78">
        <f t="shared" si="35"/>
        <v>24044982.759999998</v>
      </c>
      <c r="BC77" s="78">
        <f t="shared" si="35"/>
        <v>1647237.96</v>
      </c>
      <c r="BD77" s="78">
        <f t="shared" si="35"/>
        <v>240024635.81999993</v>
      </c>
      <c r="BE77" s="78">
        <f t="shared" si="35"/>
        <v>114771058.98</v>
      </c>
      <c r="BF77" s="78">
        <f t="shared" si="35"/>
        <v>44598957.010000005</v>
      </c>
      <c r="BG77" s="78">
        <f t="shared" si="35"/>
        <v>80654619.829999998</v>
      </c>
    </row>
    <row r="78" spans="1:59" x14ac:dyDescent="0.2">
      <c r="C78" s="8">
        <v>400</v>
      </c>
      <c r="D78" s="8" t="s">
        <v>134</v>
      </c>
      <c r="E78" s="13">
        <v>2486627.65</v>
      </c>
      <c r="F78" s="13">
        <v>545589.65</v>
      </c>
      <c r="G78" s="13">
        <v>836100.5</v>
      </c>
      <c r="H78" s="13">
        <v>902667.22</v>
      </c>
      <c r="I78" s="13">
        <v>7837296.0099999998</v>
      </c>
      <c r="J78" s="13">
        <v>7895666.1200000001</v>
      </c>
      <c r="K78" s="13">
        <v>6471945.9900000002</v>
      </c>
      <c r="L78" s="13">
        <v>30641401.23</v>
      </c>
      <c r="M78" s="13">
        <v>3258211.33</v>
      </c>
      <c r="N78" s="13">
        <v>239784.65</v>
      </c>
      <c r="O78" s="13">
        <v>16610306.949999999</v>
      </c>
      <c r="P78" s="13">
        <v>1090512.3799999999</v>
      </c>
      <c r="Q78" s="13">
        <v>216393.85</v>
      </c>
      <c r="R78" s="13">
        <v>832417.12</v>
      </c>
      <c r="S78" s="13">
        <v>688469.69</v>
      </c>
      <c r="T78" s="13">
        <v>1918886.36</v>
      </c>
      <c r="U78" s="13">
        <v>485425.25</v>
      </c>
      <c r="V78" s="13">
        <v>979685.59</v>
      </c>
      <c r="W78" s="13">
        <v>7034524.54</v>
      </c>
      <c r="X78" s="13">
        <v>871239.75</v>
      </c>
      <c r="Y78" s="13">
        <v>4309636.0999999996</v>
      </c>
      <c r="Z78" s="13">
        <v>3258859.68</v>
      </c>
      <c r="AA78" s="13">
        <v>275555.71000000002</v>
      </c>
      <c r="AB78" s="13">
        <v>1222925.81</v>
      </c>
      <c r="AC78" s="13">
        <v>1947245.34</v>
      </c>
      <c r="AD78" s="13">
        <v>1337380.6599999999</v>
      </c>
      <c r="AE78" s="13">
        <v>1557051.34</v>
      </c>
      <c r="AF78" s="13">
        <v>4782382.62</v>
      </c>
      <c r="AG78" s="13">
        <v>6594451.0800000001</v>
      </c>
      <c r="AH78" s="13">
        <v>415278.1</v>
      </c>
      <c r="AI78" s="13">
        <v>252711.16</v>
      </c>
      <c r="AJ78" s="13">
        <v>5075458.63</v>
      </c>
      <c r="AK78" s="13">
        <v>2230199.11</v>
      </c>
      <c r="AL78" s="13">
        <v>2529283.1</v>
      </c>
      <c r="AM78" s="13">
        <v>326220.40000000002</v>
      </c>
      <c r="AN78" s="13">
        <v>4263031.2</v>
      </c>
      <c r="AO78" s="13">
        <v>1562823.9</v>
      </c>
      <c r="AP78" s="13">
        <v>1856244.45</v>
      </c>
      <c r="AQ78" s="13">
        <v>2398664.9</v>
      </c>
      <c r="AR78" s="13">
        <v>1677604.1</v>
      </c>
      <c r="AS78" s="13">
        <v>2439407.38</v>
      </c>
      <c r="AT78" s="13">
        <v>742226.45</v>
      </c>
      <c r="AU78" s="13">
        <v>5295929</v>
      </c>
      <c r="AV78" s="13">
        <v>2144191.9900000002</v>
      </c>
      <c r="AW78" s="13">
        <v>626503.13</v>
      </c>
      <c r="AX78" s="13">
        <v>773798.40000000002</v>
      </c>
      <c r="AY78" s="13">
        <v>4511508.01</v>
      </c>
      <c r="AZ78" s="13">
        <v>718141.5</v>
      </c>
      <c r="BA78" s="13">
        <v>2938241.1</v>
      </c>
      <c r="BB78" s="13">
        <v>18389291.760000002</v>
      </c>
      <c r="BC78" s="13">
        <v>1379216.69</v>
      </c>
      <c r="BD78" s="13">
        <f>SUM(E78:BC78)</f>
        <v>179674614.62999997</v>
      </c>
      <c r="BE78" s="13">
        <f>SUM(E78:W78)</f>
        <v>90971912.079999998</v>
      </c>
      <c r="BF78" s="13">
        <f>SUM(X78:AI78)</f>
        <v>26824717.350000005</v>
      </c>
      <c r="BG78" s="13">
        <f>SUM(AJ78:BC78)</f>
        <v>61877985.200000003</v>
      </c>
    </row>
    <row r="79" spans="1:59" x14ac:dyDescent="0.2">
      <c r="C79" s="8">
        <v>401</v>
      </c>
      <c r="D79" s="8" t="s">
        <v>135</v>
      </c>
      <c r="E79" s="13">
        <v>167849.81</v>
      </c>
      <c r="F79" s="13">
        <v>31072.85</v>
      </c>
      <c r="G79" s="13">
        <v>-23744.65</v>
      </c>
      <c r="H79" s="13">
        <v>27430.2</v>
      </c>
      <c r="I79" s="13">
        <v>250202.95</v>
      </c>
      <c r="J79" s="13">
        <v>1118275.8500000001</v>
      </c>
      <c r="K79" s="13">
        <v>1223349.05</v>
      </c>
      <c r="L79" s="13">
        <v>5362165.45</v>
      </c>
      <c r="M79" s="13">
        <v>401506.1</v>
      </c>
      <c r="N79" s="13">
        <v>9754.25</v>
      </c>
      <c r="O79" s="13">
        <v>223480.36</v>
      </c>
      <c r="P79" s="13">
        <v>29291.65</v>
      </c>
      <c r="Q79" s="13">
        <v>518.85</v>
      </c>
      <c r="R79" s="13">
        <v>34443.65</v>
      </c>
      <c r="S79" s="13">
        <v>19888.150000000001</v>
      </c>
      <c r="T79" s="13">
        <v>56848.25</v>
      </c>
      <c r="U79" s="13">
        <v>48338.05</v>
      </c>
      <c r="V79" s="13">
        <v>331629.2</v>
      </c>
      <c r="W79" s="13">
        <v>434677.3</v>
      </c>
      <c r="X79" s="13">
        <v>12187.15</v>
      </c>
      <c r="Y79" s="13">
        <v>157817.20000000001</v>
      </c>
      <c r="Z79" s="13">
        <v>9968346.9499999993</v>
      </c>
      <c r="AA79" s="13">
        <v>7009.7</v>
      </c>
      <c r="AB79" s="13">
        <v>-69582.3</v>
      </c>
      <c r="AC79" s="13">
        <v>56189.5</v>
      </c>
      <c r="AD79" s="13">
        <v>32701.65</v>
      </c>
      <c r="AE79" s="13">
        <v>48755.7</v>
      </c>
      <c r="AF79" s="13">
        <v>2349885.1</v>
      </c>
      <c r="AG79" s="13">
        <v>822202.45</v>
      </c>
      <c r="AH79" s="13">
        <v>25498.5</v>
      </c>
      <c r="AI79" s="13">
        <v>9041.4</v>
      </c>
      <c r="AJ79" s="13">
        <v>195853.65</v>
      </c>
      <c r="AK79" s="13">
        <v>82880.070000000007</v>
      </c>
      <c r="AL79" s="13">
        <v>135929.1</v>
      </c>
      <c r="AM79" s="13">
        <v>7462.75</v>
      </c>
      <c r="AN79" s="13">
        <v>3999805.3</v>
      </c>
      <c r="AO79" s="13">
        <v>-442724.65</v>
      </c>
      <c r="AP79" s="13">
        <v>113951.45</v>
      </c>
      <c r="AQ79" s="13">
        <v>166659.54999999999</v>
      </c>
      <c r="AR79" s="13">
        <v>31264.74</v>
      </c>
      <c r="AS79" s="13">
        <v>139296.12</v>
      </c>
      <c r="AT79" s="13">
        <v>214680.15</v>
      </c>
      <c r="AU79" s="13">
        <v>775572.5</v>
      </c>
      <c r="AV79" s="13">
        <v>154295.54999999999</v>
      </c>
      <c r="AW79" s="13">
        <v>67572.25</v>
      </c>
      <c r="AX79" s="13">
        <v>13792.11</v>
      </c>
      <c r="AY79" s="13">
        <v>224872</v>
      </c>
      <c r="AZ79" s="13">
        <v>17289.400000000001</v>
      </c>
      <c r="BA79" s="13">
        <v>32526.35</v>
      </c>
      <c r="BB79" s="13">
        <v>3144327.65</v>
      </c>
      <c r="BC79" s="13">
        <v>69600.72</v>
      </c>
      <c r="BD79" s="13">
        <f>SUM(E79:BC79)</f>
        <v>32311937.079999994</v>
      </c>
      <c r="BE79" s="13">
        <f>SUM(E79:W79)</f>
        <v>9746977.3200000022</v>
      </c>
      <c r="BF79" s="13">
        <f>SUM(X79:AI79)</f>
        <v>13420052.999999996</v>
      </c>
      <c r="BG79" s="13">
        <f>SUM(AJ79:BC79)</f>
        <v>9144906.7600000016</v>
      </c>
    </row>
    <row r="80" spans="1:59" x14ac:dyDescent="0.2">
      <c r="C80" s="8">
        <v>402</v>
      </c>
      <c r="D80" s="8" t="s">
        <v>136</v>
      </c>
      <c r="E80" s="13">
        <v>212821.75</v>
      </c>
      <c r="F80" s="13">
        <v>141998.04999999999</v>
      </c>
      <c r="G80" s="13">
        <v>108936.6</v>
      </c>
      <c r="H80" s="13">
        <v>161599.9</v>
      </c>
      <c r="I80" s="13">
        <v>1549409.5</v>
      </c>
      <c r="J80" s="13">
        <v>1006708.79</v>
      </c>
      <c r="K80" s="13">
        <v>701452.45</v>
      </c>
      <c r="L80" s="13">
        <v>4720047.37</v>
      </c>
      <c r="M80" s="13">
        <v>449218.85</v>
      </c>
      <c r="N80" s="13">
        <v>16956.599999999999</v>
      </c>
      <c r="O80" s="13">
        <v>2180909.12</v>
      </c>
      <c r="P80" s="13">
        <v>268368.81</v>
      </c>
      <c r="Q80" s="13">
        <v>30917.599999999999</v>
      </c>
      <c r="R80" s="13">
        <v>184325.16</v>
      </c>
      <c r="S80" s="13">
        <v>100970.65</v>
      </c>
      <c r="T80" s="13">
        <v>222232.88</v>
      </c>
      <c r="U80" s="13">
        <v>64867.35</v>
      </c>
      <c r="V80" s="13">
        <v>136874.45000000001</v>
      </c>
      <c r="W80" s="13">
        <v>1388611.85</v>
      </c>
      <c r="X80" s="13">
        <v>99902.15</v>
      </c>
      <c r="Y80" s="13">
        <v>602057.55000000005</v>
      </c>
      <c r="Z80" s="13">
        <v>514281.85</v>
      </c>
      <c r="AA80" s="13">
        <v>61834.15</v>
      </c>
      <c r="AB80" s="13">
        <v>156373.95000000001</v>
      </c>
      <c r="AC80" s="13">
        <v>314249.84999999998</v>
      </c>
      <c r="AD80" s="13">
        <v>267608.3</v>
      </c>
      <c r="AE80" s="13">
        <v>251673.1</v>
      </c>
      <c r="AF80" s="13">
        <v>623413.69999999995</v>
      </c>
      <c r="AG80" s="13">
        <v>975123.59</v>
      </c>
      <c r="AH80" s="13">
        <v>45023.97</v>
      </c>
      <c r="AI80" s="13">
        <v>123896.05</v>
      </c>
      <c r="AJ80" s="13">
        <v>785511.14</v>
      </c>
      <c r="AK80" s="13">
        <v>382204.22</v>
      </c>
      <c r="AL80" s="13">
        <v>406947.64</v>
      </c>
      <c r="AM80" s="13">
        <v>50117.9</v>
      </c>
      <c r="AN80" s="13">
        <v>432908.07</v>
      </c>
      <c r="AO80" s="13">
        <v>202688.55</v>
      </c>
      <c r="AP80" s="13">
        <v>250163.55</v>
      </c>
      <c r="AQ80" s="13">
        <v>551249.09</v>
      </c>
      <c r="AR80" s="13">
        <v>291603.05</v>
      </c>
      <c r="AS80" s="13">
        <v>333108.90000000002</v>
      </c>
      <c r="AT80" s="13">
        <v>78513</v>
      </c>
      <c r="AU80" s="13">
        <v>832553.45</v>
      </c>
      <c r="AV80" s="13">
        <v>327653.45</v>
      </c>
      <c r="AW80" s="13">
        <v>196766.55</v>
      </c>
      <c r="AX80" s="13">
        <v>131198.67000000001</v>
      </c>
      <c r="AY80" s="13">
        <v>678284.1</v>
      </c>
      <c r="AZ80" s="13">
        <v>161392.5</v>
      </c>
      <c r="BA80" s="13">
        <v>426000.79</v>
      </c>
      <c r="BB80" s="13">
        <v>2455228.15</v>
      </c>
      <c r="BC80" s="13">
        <v>190317.55</v>
      </c>
      <c r="BD80" s="13">
        <f>SUM(E80:BC80)</f>
        <v>26847076.260000002</v>
      </c>
      <c r="BE80" s="13">
        <f>SUM(E80:W80)</f>
        <v>13647227.73</v>
      </c>
      <c r="BF80" s="13">
        <f>SUM(X80:AI80)</f>
        <v>4035438.2099999995</v>
      </c>
      <c r="BG80" s="13">
        <f>SUM(AJ80:BC80)</f>
        <v>9164410.3200000003</v>
      </c>
    </row>
    <row r="81" spans="2:59" x14ac:dyDescent="0.2">
      <c r="C81" s="8">
        <v>403</v>
      </c>
      <c r="D81" s="8" t="s">
        <v>137</v>
      </c>
      <c r="E81" s="13">
        <v>12711.65</v>
      </c>
      <c r="F81" s="13">
        <v>4918</v>
      </c>
      <c r="G81" s="13">
        <v>5461.6</v>
      </c>
      <c r="H81" s="13">
        <v>2860</v>
      </c>
      <c r="I81" s="13">
        <v>52581.599999999999</v>
      </c>
      <c r="J81" s="13">
        <v>32782</v>
      </c>
      <c r="K81" s="13">
        <v>21178.799999999999</v>
      </c>
      <c r="L81" s="13">
        <v>106503.8</v>
      </c>
      <c r="M81" s="13">
        <v>5943</v>
      </c>
      <c r="N81" s="13">
        <v>2974.4</v>
      </c>
      <c r="O81" s="13">
        <v>57045.8</v>
      </c>
      <c r="P81" s="13">
        <v>4357.3500000000004</v>
      </c>
      <c r="Q81" s="13">
        <v>4500</v>
      </c>
      <c r="R81" s="13">
        <v>15726.85</v>
      </c>
      <c r="S81" s="13">
        <v>11681.25</v>
      </c>
      <c r="T81" s="13">
        <v>3780</v>
      </c>
      <c r="U81" s="13">
        <v>11617.25</v>
      </c>
      <c r="V81" s="13">
        <v>5800.2</v>
      </c>
      <c r="W81" s="13">
        <v>42518.3</v>
      </c>
      <c r="X81" s="13">
        <v>27671.200000000001</v>
      </c>
      <c r="Y81" s="13">
        <v>29213.200000000001</v>
      </c>
      <c r="Z81" s="13">
        <v>22072.35</v>
      </c>
      <c r="AA81" s="13">
        <v>3039</v>
      </c>
      <c r="AB81" s="13">
        <v>10912.6</v>
      </c>
      <c r="AC81" s="13">
        <v>16400.8</v>
      </c>
      <c r="AD81" s="13">
        <v>44637.599999999999</v>
      </c>
      <c r="AE81" s="13">
        <v>10380.200000000001</v>
      </c>
      <c r="AF81" s="13">
        <v>25104.2</v>
      </c>
      <c r="AG81" s="13">
        <v>80217.399999999994</v>
      </c>
      <c r="AH81" s="13">
        <v>5890</v>
      </c>
      <c r="AI81" s="13">
        <v>43209.9</v>
      </c>
      <c r="AJ81" s="13">
        <v>11133.4</v>
      </c>
      <c r="AK81" s="13">
        <v>55024.4</v>
      </c>
      <c r="AL81" s="13">
        <v>21415.7</v>
      </c>
      <c r="AM81" s="13">
        <v>6161.8</v>
      </c>
      <c r="AN81" s="13">
        <v>2148.1999999999998</v>
      </c>
      <c r="AO81" s="13">
        <v>12133.6</v>
      </c>
      <c r="AP81" s="13">
        <v>7910</v>
      </c>
      <c r="AQ81" s="13">
        <v>123473.8</v>
      </c>
      <c r="AR81" s="13">
        <v>8833.2000000000007</v>
      </c>
      <c r="AS81" s="13">
        <v>14639.6</v>
      </c>
      <c r="AT81" s="13">
        <v>5171.2</v>
      </c>
      <c r="AU81" s="13">
        <v>13765.6</v>
      </c>
      <c r="AV81" s="13">
        <v>5487.2</v>
      </c>
      <c r="AW81" s="13">
        <v>2233.15</v>
      </c>
      <c r="AX81" s="13">
        <v>7220</v>
      </c>
      <c r="AY81" s="13">
        <v>23435.200000000001</v>
      </c>
      <c r="AZ81" s="13">
        <v>16373.3</v>
      </c>
      <c r="BA81" s="13">
        <v>66520</v>
      </c>
      <c r="BB81" s="13">
        <v>56135.199999999997</v>
      </c>
      <c r="BC81" s="13">
        <v>8103</v>
      </c>
      <c r="BD81" s="13">
        <f>SUM(E81:BC81)</f>
        <v>1191007.8499999996</v>
      </c>
      <c r="BE81" s="13">
        <f>SUM(E81:W81)</f>
        <v>404941.85</v>
      </c>
      <c r="BF81" s="13">
        <f>SUM(X81:AI81)</f>
        <v>318748.45000000007</v>
      </c>
      <c r="BG81" s="13">
        <f>SUM(AJ81:BC81)</f>
        <v>467317.55000000005</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36">F84+F85+F86+F87</f>
        <v>11770.75</v>
      </c>
      <c r="G83" s="78">
        <f t="shared" si="36"/>
        <v>0</v>
      </c>
      <c r="H83" s="78">
        <f t="shared" si="36"/>
        <v>0</v>
      </c>
      <c r="I83" s="78">
        <f t="shared" si="36"/>
        <v>4749.75</v>
      </c>
      <c r="J83" s="78">
        <f t="shared" si="36"/>
        <v>0</v>
      </c>
      <c r="K83" s="78">
        <f t="shared" si="36"/>
        <v>0</v>
      </c>
      <c r="L83" s="78">
        <f t="shared" si="36"/>
        <v>0</v>
      </c>
      <c r="M83" s="78">
        <f t="shared" si="36"/>
        <v>50238.45</v>
      </c>
      <c r="N83" s="78">
        <f t="shared" si="36"/>
        <v>0</v>
      </c>
      <c r="O83" s="78">
        <f t="shared" si="36"/>
        <v>65826.55</v>
      </c>
      <c r="P83" s="78">
        <f t="shared" si="36"/>
        <v>10735</v>
      </c>
      <c r="Q83" s="78">
        <f t="shared" si="36"/>
        <v>0</v>
      </c>
      <c r="R83" s="78">
        <f t="shared" si="36"/>
        <v>2084</v>
      </c>
      <c r="S83" s="78">
        <f t="shared" si="36"/>
        <v>8627.25</v>
      </c>
      <c r="T83" s="78">
        <f t="shared" si="36"/>
        <v>0</v>
      </c>
      <c r="U83" s="78">
        <f t="shared" si="36"/>
        <v>0</v>
      </c>
      <c r="V83" s="78">
        <f t="shared" si="36"/>
        <v>0</v>
      </c>
      <c r="W83" s="78">
        <f t="shared" si="36"/>
        <v>7233</v>
      </c>
      <c r="X83" s="78">
        <f t="shared" si="36"/>
        <v>0</v>
      </c>
      <c r="Y83" s="78">
        <f t="shared" si="36"/>
        <v>0</v>
      </c>
      <c r="Z83" s="78">
        <f t="shared" si="36"/>
        <v>633477.1</v>
      </c>
      <c r="AA83" s="78">
        <f t="shared" si="36"/>
        <v>292</v>
      </c>
      <c r="AB83" s="78">
        <f t="shared" si="36"/>
        <v>0</v>
      </c>
      <c r="AC83" s="78">
        <f t="shared" si="36"/>
        <v>0</v>
      </c>
      <c r="AD83" s="78">
        <f t="shared" si="36"/>
        <v>0</v>
      </c>
      <c r="AE83" s="78">
        <f t="shared" si="36"/>
        <v>16873</v>
      </c>
      <c r="AF83" s="78">
        <f t="shared" si="36"/>
        <v>3000</v>
      </c>
      <c r="AG83" s="78">
        <f t="shared" si="36"/>
        <v>86246</v>
      </c>
      <c r="AH83" s="78">
        <f t="shared" si="36"/>
        <v>25655.95</v>
      </c>
      <c r="AI83" s="78">
        <f t="shared" si="36"/>
        <v>8228.1</v>
      </c>
      <c r="AJ83" s="78">
        <f t="shared" si="36"/>
        <v>0</v>
      </c>
      <c r="AK83" s="78">
        <f t="shared" si="36"/>
        <v>0</v>
      </c>
      <c r="AL83" s="78">
        <f t="shared" si="36"/>
        <v>0</v>
      </c>
      <c r="AM83" s="78">
        <f t="shared" si="36"/>
        <v>0</v>
      </c>
      <c r="AN83" s="78">
        <f t="shared" si="36"/>
        <v>0</v>
      </c>
      <c r="AO83" s="78">
        <f t="shared" si="36"/>
        <v>0</v>
      </c>
      <c r="AP83" s="78">
        <f t="shared" si="36"/>
        <v>0</v>
      </c>
      <c r="AQ83" s="78">
        <f t="shared" si="36"/>
        <v>306</v>
      </c>
      <c r="AR83" s="78">
        <f t="shared" si="36"/>
        <v>5675.25</v>
      </c>
      <c r="AS83" s="78">
        <f t="shared" si="36"/>
        <v>58558.8</v>
      </c>
      <c r="AT83" s="78">
        <f t="shared" si="36"/>
        <v>0</v>
      </c>
      <c r="AU83" s="78">
        <f t="shared" si="36"/>
        <v>8500</v>
      </c>
      <c r="AV83" s="78">
        <f t="shared" si="36"/>
        <v>0</v>
      </c>
      <c r="AW83" s="78">
        <f t="shared" si="36"/>
        <v>8070</v>
      </c>
      <c r="AX83" s="78">
        <f t="shared" si="36"/>
        <v>0</v>
      </c>
      <c r="AY83" s="78">
        <f t="shared" si="36"/>
        <v>5515.7</v>
      </c>
      <c r="AZ83" s="78">
        <f t="shared" si="36"/>
        <v>0</v>
      </c>
      <c r="BA83" s="78">
        <f t="shared" si="36"/>
        <v>63671.15</v>
      </c>
      <c r="BB83" s="78">
        <f t="shared" si="36"/>
        <v>2360</v>
      </c>
      <c r="BC83" s="78">
        <f t="shared" si="36"/>
        <v>250</v>
      </c>
      <c r="BD83" s="78">
        <f t="shared" si="36"/>
        <v>1087943.7999999998</v>
      </c>
      <c r="BE83" s="78">
        <f t="shared" si="36"/>
        <v>161264.75</v>
      </c>
      <c r="BF83" s="78">
        <f t="shared" si="36"/>
        <v>773772.14999999991</v>
      </c>
      <c r="BG83" s="78">
        <f t="shared" si="36"/>
        <v>152906.9</v>
      </c>
    </row>
    <row r="84" spans="2:5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2084</v>
      </c>
      <c r="S84" s="13">
        <v>0</v>
      </c>
      <c r="T84" s="13">
        <v>0</v>
      </c>
      <c r="U84" s="13">
        <v>0</v>
      </c>
      <c r="V84" s="13">
        <v>0</v>
      </c>
      <c r="W84" s="13">
        <v>0</v>
      </c>
      <c r="X84" s="13">
        <v>0</v>
      </c>
      <c r="Y84" s="13">
        <v>0</v>
      </c>
      <c r="Z84" s="13">
        <v>0</v>
      </c>
      <c r="AA84" s="13">
        <v>0</v>
      </c>
      <c r="AB84" s="13">
        <v>0</v>
      </c>
      <c r="AC84" s="13">
        <v>0</v>
      </c>
      <c r="AD84" s="13">
        <v>0</v>
      </c>
      <c r="AE84" s="13">
        <v>0</v>
      </c>
      <c r="AF84" s="13">
        <v>0</v>
      </c>
      <c r="AG84" s="13">
        <v>2798</v>
      </c>
      <c r="AH84" s="13">
        <v>0</v>
      </c>
      <c r="AI84" s="13">
        <v>0</v>
      </c>
      <c r="AJ84" s="13">
        <v>0</v>
      </c>
      <c r="AK84" s="13">
        <v>0</v>
      </c>
      <c r="AL84" s="13">
        <v>0</v>
      </c>
      <c r="AM84" s="13">
        <v>0</v>
      </c>
      <c r="AN84" s="13">
        <v>0</v>
      </c>
      <c r="AO84" s="13">
        <v>0</v>
      </c>
      <c r="AP84" s="13">
        <v>0</v>
      </c>
      <c r="AQ84" s="13">
        <v>0</v>
      </c>
      <c r="AR84" s="13">
        <v>1200</v>
      </c>
      <c r="AS84" s="13">
        <v>0</v>
      </c>
      <c r="AT84" s="13">
        <v>0</v>
      </c>
      <c r="AU84" s="13">
        <v>0</v>
      </c>
      <c r="AV84" s="13">
        <v>0</v>
      </c>
      <c r="AW84" s="13">
        <v>0</v>
      </c>
      <c r="AX84" s="13">
        <v>0</v>
      </c>
      <c r="AY84" s="13">
        <v>0</v>
      </c>
      <c r="AZ84" s="13">
        <v>0</v>
      </c>
      <c r="BA84" s="13">
        <v>0</v>
      </c>
      <c r="BB84" s="13">
        <v>0</v>
      </c>
      <c r="BC84" s="13">
        <v>250</v>
      </c>
      <c r="BD84" s="13">
        <f>SUM(E84:BC84)</f>
        <v>6332</v>
      </c>
      <c r="BE84" s="13">
        <f>SUM(E84:W84)</f>
        <v>2084</v>
      </c>
      <c r="BF84" s="13">
        <f>SUM(X84:AI84)</f>
        <v>2798</v>
      </c>
      <c r="BG84" s="13">
        <f>SUM(AJ84:BC84)</f>
        <v>1450</v>
      </c>
    </row>
    <row r="85" spans="2:5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f>SUM(E85:BC85)</f>
        <v>0</v>
      </c>
      <c r="BE85" s="13">
        <f>SUM(E85:W85)</f>
        <v>0</v>
      </c>
      <c r="BF85" s="13">
        <f>SUM(X85:AI85)</f>
        <v>0</v>
      </c>
      <c r="BG85" s="13">
        <f>SUM(AJ85:BC85)</f>
        <v>0</v>
      </c>
    </row>
    <row r="86" spans="2:59" x14ac:dyDescent="0.2">
      <c r="C86" s="8">
        <v>412</v>
      </c>
      <c r="D86" s="8" t="s">
        <v>141</v>
      </c>
      <c r="E86" s="13">
        <v>0</v>
      </c>
      <c r="F86" s="13">
        <v>11770.75</v>
      </c>
      <c r="G86" s="13">
        <v>0</v>
      </c>
      <c r="H86" s="13">
        <v>0</v>
      </c>
      <c r="I86" s="13">
        <v>4749.75</v>
      </c>
      <c r="J86" s="13">
        <v>0</v>
      </c>
      <c r="K86" s="13">
        <v>0</v>
      </c>
      <c r="L86" s="13">
        <v>0</v>
      </c>
      <c r="M86" s="13">
        <v>50238.45</v>
      </c>
      <c r="N86" s="13">
        <v>0</v>
      </c>
      <c r="O86" s="13">
        <v>65826.55</v>
      </c>
      <c r="P86" s="13">
        <v>10735</v>
      </c>
      <c r="Q86" s="13">
        <v>0</v>
      </c>
      <c r="R86" s="13">
        <v>0</v>
      </c>
      <c r="S86" s="13">
        <v>8627.25</v>
      </c>
      <c r="T86" s="13">
        <v>0</v>
      </c>
      <c r="U86" s="13">
        <v>0</v>
      </c>
      <c r="V86" s="13">
        <v>0</v>
      </c>
      <c r="W86" s="13">
        <v>7233</v>
      </c>
      <c r="X86" s="13">
        <v>0</v>
      </c>
      <c r="Y86" s="13">
        <v>0</v>
      </c>
      <c r="Z86" s="13">
        <v>633477.1</v>
      </c>
      <c r="AA86" s="13">
        <v>292</v>
      </c>
      <c r="AB86" s="13">
        <v>0</v>
      </c>
      <c r="AC86" s="13">
        <v>0</v>
      </c>
      <c r="AD86" s="13">
        <v>0</v>
      </c>
      <c r="AE86" s="13">
        <v>16873</v>
      </c>
      <c r="AF86" s="13">
        <v>3000</v>
      </c>
      <c r="AG86" s="13">
        <v>83448</v>
      </c>
      <c r="AH86" s="13">
        <v>25655.95</v>
      </c>
      <c r="AI86" s="13">
        <v>8228.1</v>
      </c>
      <c r="AJ86" s="13">
        <v>0</v>
      </c>
      <c r="AK86" s="13">
        <v>0</v>
      </c>
      <c r="AL86" s="13">
        <v>0</v>
      </c>
      <c r="AM86" s="13">
        <v>0</v>
      </c>
      <c r="AN86" s="13">
        <v>0</v>
      </c>
      <c r="AO86" s="13">
        <v>0</v>
      </c>
      <c r="AP86" s="13">
        <v>0</v>
      </c>
      <c r="AQ86" s="13">
        <v>306</v>
      </c>
      <c r="AR86" s="13">
        <v>4475.25</v>
      </c>
      <c r="AS86" s="13">
        <v>58558.8</v>
      </c>
      <c r="AT86" s="13">
        <v>0</v>
      </c>
      <c r="AU86" s="13">
        <v>8500</v>
      </c>
      <c r="AV86" s="13">
        <v>0</v>
      </c>
      <c r="AW86" s="13">
        <v>8070</v>
      </c>
      <c r="AX86" s="13">
        <v>0</v>
      </c>
      <c r="AY86" s="13">
        <v>5515.7</v>
      </c>
      <c r="AZ86" s="13">
        <v>0</v>
      </c>
      <c r="BA86" s="13">
        <v>63671.15</v>
      </c>
      <c r="BB86" s="13">
        <v>2360</v>
      </c>
      <c r="BC86" s="13">
        <v>0</v>
      </c>
      <c r="BD86" s="13">
        <f>SUM(E86:BC86)</f>
        <v>1081611.7999999998</v>
      </c>
      <c r="BE86" s="13">
        <f>SUM(E86:W86)</f>
        <v>159180.75</v>
      </c>
      <c r="BF86" s="13">
        <f>SUM(X86:AI86)</f>
        <v>770974.14999999991</v>
      </c>
      <c r="BG86" s="13">
        <f>SUM(AJ86:BC86)</f>
        <v>151456.9</v>
      </c>
    </row>
    <row r="87" spans="2:5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726475.41</v>
      </c>
      <c r="F89" s="78">
        <f t="shared" ref="F89:BG89" si="37">F90+F91+F92+F93+F94+F95+F96+F97+F98</f>
        <v>220371.15</v>
      </c>
      <c r="G89" s="78">
        <f t="shared" si="37"/>
        <v>283681.60000000003</v>
      </c>
      <c r="H89" s="78">
        <f t="shared" si="37"/>
        <v>778797.76</v>
      </c>
      <c r="I89" s="78">
        <f t="shared" si="37"/>
        <v>4467397.4700000007</v>
      </c>
      <c r="J89" s="78">
        <f t="shared" si="37"/>
        <v>3421399.92</v>
      </c>
      <c r="K89" s="78">
        <f t="shared" si="37"/>
        <v>1925383.9600000004</v>
      </c>
      <c r="L89" s="78">
        <f t="shared" si="37"/>
        <v>44236569.059999995</v>
      </c>
      <c r="M89" s="78">
        <f t="shared" si="37"/>
        <v>2858660.6799999997</v>
      </c>
      <c r="N89" s="78">
        <f t="shared" si="37"/>
        <v>49937.15</v>
      </c>
      <c r="O89" s="78">
        <f t="shared" si="37"/>
        <v>4954625.04</v>
      </c>
      <c r="P89" s="78">
        <f t="shared" si="37"/>
        <v>227997.58000000002</v>
      </c>
      <c r="Q89" s="78">
        <f t="shared" si="37"/>
        <v>58409.35</v>
      </c>
      <c r="R89" s="78">
        <f t="shared" si="37"/>
        <v>259020.79999999999</v>
      </c>
      <c r="S89" s="78">
        <f t="shared" si="37"/>
        <v>280185.67</v>
      </c>
      <c r="T89" s="78">
        <f t="shared" si="37"/>
        <v>983533.03</v>
      </c>
      <c r="U89" s="78">
        <f t="shared" si="37"/>
        <v>196586.2</v>
      </c>
      <c r="V89" s="78">
        <f t="shared" si="37"/>
        <v>239258.62</v>
      </c>
      <c r="W89" s="78">
        <f t="shared" si="37"/>
        <v>1717901.01</v>
      </c>
      <c r="X89" s="78">
        <f t="shared" si="37"/>
        <v>359526.40000000002</v>
      </c>
      <c r="Y89" s="78">
        <f t="shared" si="37"/>
        <v>1194294.4500000002</v>
      </c>
      <c r="Z89" s="78">
        <f t="shared" si="37"/>
        <v>1897199.4899999998</v>
      </c>
      <c r="AA89" s="78">
        <f t="shared" si="37"/>
        <v>173170.52999999997</v>
      </c>
      <c r="AB89" s="78">
        <f t="shared" si="37"/>
        <v>750125.85000000009</v>
      </c>
      <c r="AC89" s="78">
        <f t="shared" si="37"/>
        <v>735045.57</v>
      </c>
      <c r="AD89" s="78">
        <f t="shared" si="37"/>
        <v>564354.98</v>
      </c>
      <c r="AE89" s="78">
        <f t="shared" si="37"/>
        <v>784793.19000000006</v>
      </c>
      <c r="AF89" s="78">
        <f t="shared" si="37"/>
        <v>1880895.25</v>
      </c>
      <c r="AG89" s="78">
        <f t="shared" si="37"/>
        <v>3001645.56</v>
      </c>
      <c r="AH89" s="78">
        <f t="shared" si="37"/>
        <v>279986.88</v>
      </c>
      <c r="AI89" s="78">
        <f t="shared" si="37"/>
        <v>145573.03</v>
      </c>
      <c r="AJ89" s="78">
        <f t="shared" si="37"/>
        <v>1438835.02</v>
      </c>
      <c r="AK89" s="78">
        <f t="shared" si="37"/>
        <v>1172554.1500000001</v>
      </c>
      <c r="AL89" s="78">
        <f t="shared" si="37"/>
        <v>757098.2</v>
      </c>
      <c r="AM89" s="78">
        <f t="shared" si="37"/>
        <v>146618.15</v>
      </c>
      <c r="AN89" s="78">
        <f t="shared" si="37"/>
        <v>1240684.2899999998</v>
      </c>
      <c r="AO89" s="78">
        <f t="shared" si="37"/>
        <v>894648.51</v>
      </c>
      <c r="AP89" s="78">
        <f t="shared" si="37"/>
        <v>394574.99000000005</v>
      </c>
      <c r="AQ89" s="78">
        <f t="shared" si="37"/>
        <v>1165948.3500000001</v>
      </c>
      <c r="AR89" s="78">
        <f t="shared" si="37"/>
        <v>560620.79999999993</v>
      </c>
      <c r="AS89" s="78">
        <f t="shared" si="37"/>
        <v>879884.67999999993</v>
      </c>
      <c r="AT89" s="78">
        <f t="shared" si="37"/>
        <v>233944.27</v>
      </c>
      <c r="AU89" s="78">
        <f t="shared" si="37"/>
        <v>1468349.9000000001</v>
      </c>
      <c r="AV89" s="78">
        <f t="shared" si="37"/>
        <v>526810.22</v>
      </c>
      <c r="AW89" s="78">
        <f t="shared" si="37"/>
        <v>344992.5</v>
      </c>
      <c r="AX89" s="78">
        <f t="shared" si="37"/>
        <v>230696.4</v>
      </c>
      <c r="AY89" s="78">
        <f t="shared" si="37"/>
        <v>1139505.42</v>
      </c>
      <c r="AZ89" s="78">
        <f t="shared" si="37"/>
        <v>345395.48</v>
      </c>
      <c r="BA89" s="78">
        <f t="shared" si="37"/>
        <v>1076485.23</v>
      </c>
      <c r="BB89" s="78">
        <f t="shared" si="37"/>
        <v>7046889.0800000001</v>
      </c>
      <c r="BC89" s="78">
        <f t="shared" si="37"/>
        <v>455954.20000000007</v>
      </c>
      <c r="BD89" s="78">
        <f t="shared" si="37"/>
        <v>101173292.48</v>
      </c>
      <c r="BE89" s="78">
        <f t="shared" si="37"/>
        <v>67886191.460000008</v>
      </c>
      <c r="BF89" s="78">
        <f t="shared" si="37"/>
        <v>11766611.18</v>
      </c>
      <c r="BG89" s="78">
        <f t="shared" si="37"/>
        <v>21520489.84</v>
      </c>
    </row>
    <row r="90" spans="2:59" x14ac:dyDescent="0.2">
      <c r="C90" s="8">
        <v>420</v>
      </c>
      <c r="D90" s="8" t="s">
        <v>144</v>
      </c>
      <c r="E90" s="13">
        <v>37584.35</v>
      </c>
      <c r="F90" s="13">
        <v>8420.5</v>
      </c>
      <c r="G90" s="13">
        <v>19803.5</v>
      </c>
      <c r="H90" s="13">
        <v>14797.05</v>
      </c>
      <c r="I90" s="13">
        <v>151163.9</v>
      </c>
      <c r="J90" s="13">
        <v>156248</v>
      </c>
      <c r="K90" s="13">
        <v>134507.04999999999</v>
      </c>
      <c r="L90" s="13">
        <v>505027.54</v>
      </c>
      <c r="M90" s="13">
        <v>57050.75</v>
      </c>
      <c r="N90" s="13">
        <v>1188.05</v>
      </c>
      <c r="O90" s="13">
        <v>310302.5</v>
      </c>
      <c r="P90" s="13">
        <v>17541.849999999999</v>
      </c>
      <c r="Q90" s="13">
        <v>2967</v>
      </c>
      <c r="R90" s="13">
        <v>14750.05</v>
      </c>
      <c r="S90" s="13">
        <v>11577.5</v>
      </c>
      <c r="T90" s="13">
        <v>42723.7</v>
      </c>
      <c r="U90" s="13">
        <v>10864.85</v>
      </c>
      <c r="V90" s="13">
        <v>17399.45</v>
      </c>
      <c r="W90" s="13">
        <v>116683.85</v>
      </c>
      <c r="X90" s="13">
        <v>9109.4</v>
      </c>
      <c r="Y90" s="13">
        <v>49464.1</v>
      </c>
      <c r="Z90" s="13">
        <v>69774.649999999994</v>
      </c>
      <c r="AA90" s="13">
        <v>4671.5</v>
      </c>
      <c r="AB90" s="13">
        <v>17844.650000000001</v>
      </c>
      <c r="AC90" s="13">
        <v>45752.5</v>
      </c>
      <c r="AD90" s="13">
        <v>19938.75</v>
      </c>
      <c r="AE90" s="13">
        <v>6395.65</v>
      </c>
      <c r="AF90" s="13">
        <v>90793.65</v>
      </c>
      <c r="AG90" s="13">
        <v>111784.25</v>
      </c>
      <c r="AH90" s="13">
        <v>6675.25</v>
      </c>
      <c r="AI90" s="13">
        <v>2309.6</v>
      </c>
      <c r="AJ90" s="13">
        <v>76576.5</v>
      </c>
      <c r="AK90" s="13">
        <v>26976.45</v>
      </c>
      <c r="AL90" s="13">
        <v>31460.05</v>
      </c>
      <c r="AM90" s="13">
        <v>2414.35</v>
      </c>
      <c r="AN90" s="13">
        <v>26716.6</v>
      </c>
      <c r="AO90" s="13">
        <v>12575.8</v>
      </c>
      <c r="AP90" s="13">
        <v>18035.5</v>
      </c>
      <c r="AQ90" s="13">
        <v>38476.1</v>
      </c>
      <c r="AR90" s="13">
        <v>30424.9</v>
      </c>
      <c r="AS90" s="13">
        <v>37463.35</v>
      </c>
      <c r="AT90" s="13">
        <v>9442.6</v>
      </c>
      <c r="AU90" s="13">
        <v>0</v>
      </c>
      <c r="AV90" s="13">
        <v>21448.400000000001</v>
      </c>
      <c r="AW90" s="13">
        <v>9699.5</v>
      </c>
      <c r="AX90" s="13">
        <v>5905.3</v>
      </c>
      <c r="AY90" s="13">
        <v>55577.75</v>
      </c>
      <c r="AZ90" s="13">
        <v>8922.7000000000007</v>
      </c>
      <c r="BA90" s="13">
        <v>30197.75</v>
      </c>
      <c r="BB90" s="13">
        <v>205392.65</v>
      </c>
      <c r="BC90" s="13">
        <v>14036.5</v>
      </c>
      <c r="BD90" s="13">
        <f t="shared" ref="BD90:BD98" si="38">SUM(E90:BC90)</f>
        <v>2726858.1399999997</v>
      </c>
      <c r="BE90" s="13">
        <f t="shared" ref="BE90:BE98" si="39">SUM(E90:W90)</f>
        <v>1630601.4400000002</v>
      </c>
      <c r="BF90" s="13">
        <f t="shared" ref="BF90:BF98" si="40">SUM(X90:AI90)</f>
        <v>434513.94999999995</v>
      </c>
      <c r="BG90" s="13">
        <f t="shared" ref="BG90:BG98" si="41">SUM(AJ90:BC90)</f>
        <v>661742.75</v>
      </c>
    </row>
    <row r="91" spans="2:59" x14ac:dyDescent="0.2">
      <c r="C91" s="8">
        <v>421</v>
      </c>
      <c r="D91" s="8" t="s">
        <v>145</v>
      </c>
      <c r="E91" s="13">
        <v>12592.43</v>
      </c>
      <c r="F91" s="13">
        <v>3119.3</v>
      </c>
      <c r="G91" s="13">
        <v>1610.25</v>
      </c>
      <c r="H91" s="13">
        <v>11459.6</v>
      </c>
      <c r="I91" s="13">
        <v>95662.88</v>
      </c>
      <c r="J91" s="13">
        <v>43827.53</v>
      </c>
      <c r="K91" s="13">
        <v>35860.800000000003</v>
      </c>
      <c r="L91" s="13">
        <v>991792.1</v>
      </c>
      <c r="M91" s="13">
        <v>18519.05</v>
      </c>
      <c r="N91" s="13">
        <v>1166.8</v>
      </c>
      <c r="O91" s="13">
        <v>245965.05</v>
      </c>
      <c r="P91" s="13">
        <v>15867.81</v>
      </c>
      <c r="Q91" s="13">
        <v>4550.75</v>
      </c>
      <c r="R91" s="13">
        <v>11286.5</v>
      </c>
      <c r="S91" s="13">
        <v>34183.72</v>
      </c>
      <c r="T91" s="13">
        <v>9584.52</v>
      </c>
      <c r="U91" s="13">
        <v>1792.75</v>
      </c>
      <c r="V91" s="13">
        <v>18901.45</v>
      </c>
      <c r="W91" s="13">
        <v>51464.4</v>
      </c>
      <c r="X91" s="13">
        <v>3893.4</v>
      </c>
      <c r="Y91" s="13">
        <v>8782</v>
      </c>
      <c r="Z91" s="13">
        <v>12742.2</v>
      </c>
      <c r="AA91" s="13">
        <v>1575.5</v>
      </c>
      <c r="AB91" s="13">
        <v>0</v>
      </c>
      <c r="AC91" s="13">
        <v>17853.169999999998</v>
      </c>
      <c r="AD91" s="13">
        <v>5346.3</v>
      </c>
      <c r="AE91" s="13">
        <v>6319.55</v>
      </c>
      <c r="AF91" s="13">
        <v>32675.88</v>
      </c>
      <c r="AG91" s="13">
        <v>37689</v>
      </c>
      <c r="AH91" s="13">
        <v>2831.75</v>
      </c>
      <c r="AI91" s="13">
        <v>1069</v>
      </c>
      <c r="AJ91" s="13">
        <v>47036.63</v>
      </c>
      <c r="AK91" s="13">
        <v>13305.75</v>
      </c>
      <c r="AL91" s="13">
        <v>16883.96</v>
      </c>
      <c r="AM91" s="13">
        <v>1127.5</v>
      </c>
      <c r="AN91" s="13">
        <v>43669.27</v>
      </c>
      <c r="AO91" s="13">
        <v>18314.75</v>
      </c>
      <c r="AP91" s="13">
        <v>9442.4500000000007</v>
      </c>
      <c r="AQ91" s="13">
        <v>35771.599999999999</v>
      </c>
      <c r="AR91" s="13">
        <v>7108.95</v>
      </c>
      <c r="AS91" s="13">
        <v>15384.15</v>
      </c>
      <c r="AT91" s="13">
        <v>7764.36</v>
      </c>
      <c r="AU91" s="13">
        <v>47794.7</v>
      </c>
      <c r="AV91" s="13">
        <v>18820.46</v>
      </c>
      <c r="AW91" s="13">
        <v>11691.65</v>
      </c>
      <c r="AX91" s="13">
        <v>-29.4</v>
      </c>
      <c r="AY91" s="13">
        <v>33070.06</v>
      </c>
      <c r="AZ91" s="13">
        <v>6197.75</v>
      </c>
      <c r="BA91" s="13">
        <v>17436.900000000001</v>
      </c>
      <c r="BB91" s="13">
        <v>654728.17000000004</v>
      </c>
      <c r="BC91" s="13">
        <v>7804.95</v>
      </c>
      <c r="BD91" s="13">
        <f t="shared" si="38"/>
        <v>2753310.05</v>
      </c>
      <c r="BE91" s="13">
        <f t="shared" si="39"/>
        <v>1609207.69</v>
      </c>
      <c r="BF91" s="13">
        <f t="shared" si="40"/>
        <v>130777.75</v>
      </c>
      <c r="BG91" s="13">
        <f t="shared" si="41"/>
        <v>1013324.6100000001</v>
      </c>
    </row>
    <row r="92" spans="2:5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f t="shared" si="38"/>
        <v>0</v>
      </c>
      <c r="BE92" s="13">
        <f t="shared" si="39"/>
        <v>0</v>
      </c>
      <c r="BF92" s="13">
        <f t="shared" si="40"/>
        <v>0</v>
      </c>
      <c r="BG92" s="13">
        <f t="shared" si="41"/>
        <v>0</v>
      </c>
    </row>
    <row r="93" spans="2:59" x14ac:dyDescent="0.2">
      <c r="C93" s="8">
        <v>423</v>
      </c>
      <c r="D93" s="8" t="s">
        <v>147</v>
      </c>
      <c r="E93" s="13">
        <v>1360</v>
      </c>
      <c r="F93" s="13">
        <v>0</v>
      </c>
      <c r="G93" s="13">
        <v>0</v>
      </c>
      <c r="H93" s="13">
        <v>0</v>
      </c>
      <c r="I93" s="13">
        <v>11605</v>
      </c>
      <c r="J93" s="13">
        <v>0</v>
      </c>
      <c r="K93" s="13">
        <v>0</v>
      </c>
      <c r="L93" s="13">
        <v>37443</v>
      </c>
      <c r="M93" s="13">
        <v>2087.1</v>
      </c>
      <c r="N93" s="13">
        <v>0</v>
      </c>
      <c r="O93" s="13">
        <v>0</v>
      </c>
      <c r="P93" s="13">
        <v>0</v>
      </c>
      <c r="Q93" s="13">
        <v>0</v>
      </c>
      <c r="R93" s="13">
        <v>4800</v>
      </c>
      <c r="S93" s="13">
        <v>3000</v>
      </c>
      <c r="T93" s="13">
        <v>0</v>
      </c>
      <c r="U93" s="13">
        <v>0</v>
      </c>
      <c r="V93" s="13">
        <v>4900</v>
      </c>
      <c r="W93" s="13">
        <v>6750</v>
      </c>
      <c r="X93" s="13">
        <v>31150.1</v>
      </c>
      <c r="Y93" s="13">
        <v>0</v>
      </c>
      <c r="Z93" s="13">
        <v>223983.55</v>
      </c>
      <c r="AA93" s="13">
        <v>0</v>
      </c>
      <c r="AB93" s="13">
        <v>0</v>
      </c>
      <c r="AC93" s="13">
        <v>0</v>
      </c>
      <c r="AD93" s="13">
        <v>0</v>
      </c>
      <c r="AE93" s="13">
        <v>0</v>
      </c>
      <c r="AF93" s="13">
        <v>0</v>
      </c>
      <c r="AG93" s="13">
        <v>142084.26999999999</v>
      </c>
      <c r="AH93" s="13">
        <v>0</v>
      </c>
      <c r="AI93" s="13">
        <v>0</v>
      </c>
      <c r="AJ93" s="13">
        <v>0</v>
      </c>
      <c r="AK93" s="13">
        <v>0</v>
      </c>
      <c r="AL93" s="13">
        <v>22826</v>
      </c>
      <c r="AM93" s="13">
        <v>0</v>
      </c>
      <c r="AN93" s="13">
        <v>0</v>
      </c>
      <c r="AO93" s="13">
        <v>0</v>
      </c>
      <c r="AP93" s="13">
        <v>0</v>
      </c>
      <c r="AQ93" s="13">
        <v>10056</v>
      </c>
      <c r="AR93" s="13">
        <v>41505</v>
      </c>
      <c r="AS93" s="13">
        <v>0</v>
      </c>
      <c r="AT93" s="13">
        <v>14940</v>
      </c>
      <c r="AU93" s="13">
        <v>0</v>
      </c>
      <c r="AV93" s="13">
        <v>0</v>
      </c>
      <c r="AW93" s="13">
        <v>0</v>
      </c>
      <c r="AX93" s="13">
        <v>0</v>
      </c>
      <c r="AY93" s="13">
        <v>0</v>
      </c>
      <c r="AZ93" s="13">
        <v>7074.65</v>
      </c>
      <c r="BA93" s="13">
        <v>17667.150000000001</v>
      </c>
      <c r="BB93" s="13">
        <v>60986.65</v>
      </c>
      <c r="BC93" s="13">
        <v>0</v>
      </c>
      <c r="BD93" s="13">
        <f t="shared" si="38"/>
        <v>644218.47000000009</v>
      </c>
      <c r="BE93" s="13">
        <f t="shared" si="39"/>
        <v>71945.100000000006</v>
      </c>
      <c r="BF93" s="13">
        <f t="shared" si="40"/>
        <v>397217.92</v>
      </c>
      <c r="BG93" s="13">
        <f t="shared" si="41"/>
        <v>175055.44999999998</v>
      </c>
    </row>
    <row r="94" spans="2:59" x14ac:dyDescent="0.2">
      <c r="C94" s="8">
        <v>424</v>
      </c>
      <c r="D94" s="8" t="s">
        <v>148</v>
      </c>
      <c r="E94" s="13">
        <v>626477.23</v>
      </c>
      <c r="F94" s="13">
        <v>202982.5</v>
      </c>
      <c r="G94" s="13">
        <v>247505</v>
      </c>
      <c r="H94" s="13">
        <v>717948.8</v>
      </c>
      <c r="I94" s="13">
        <v>4008568.24</v>
      </c>
      <c r="J94" s="13">
        <v>3139655.14</v>
      </c>
      <c r="K94" s="13">
        <v>1411879.62</v>
      </c>
      <c r="L94" s="13">
        <v>42070173.009999998</v>
      </c>
      <c r="M94" s="13">
        <v>2577624.6</v>
      </c>
      <c r="N94" s="13">
        <v>47582.3</v>
      </c>
      <c r="O94" s="13">
        <v>3918322.15</v>
      </c>
      <c r="P94" s="13">
        <v>126814.81</v>
      </c>
      <c r="Q94" s="13">
        <v>49436.45</v>
      </c>
      <c r="R94" s="13">
        <v>194658.2</v>
      </c>
      <c r="S94" s="13">
        <v>204880.55</v>
      </c>
      <c r="T94" s="13">
        <v>800498.81</v>
      </c>
      <c r="U94" s="13">
        <v>143320</v>
      </c>
      <c r="V94" s="13">
        <v>175689.75</v>
      </c>
      <c r="W94" s="13">
        <v>1434530.7</v>
      </c>
      <c r="X94" s="13">
        <v>240471.35</v>
      </c>
      <c r="Y94" s="13">
        <v>1042156.2</v>
      </c>
      <c r="Z94" s="13">
        <v>1454787.69</v>
      </c>
      <c r="AA94" s="13">
        <v>90273.600000000006</v>
      </c>
      <c r="AB94" s="13">
        <v>485040.45</v>
      </c>
      <c r="AC94" s="13">
        <v>471891.45</v>
      </c>
      <c r="AD94" s="13">
        <v>425766.75</v>
      </c>
      <c r="AE94" s="13">
        <v>387744.2</v>
      </c>
      <c r="AF94" s="13">
        <v>1426165.5</v>
      </c>
      <c r="AG94" s="13">
        <v>2401635.13</v>
      </c>
      <c r="AH94" s="13">
        <v>176279.75</v>
      </c>
      <c r="AI94" s="13">
        <v>111354.85</v>
      </c>
      <c r="AJ94" s="13">
        <v>1122420.8899999999</v>
      </c>
      <c r="AK94" s="13">
        <v>623524.48</v>
      </c>
      <c r="AL94" s="13">
        <v>580847.49</v>
      </c>
      <c r="AM94" s="13">
        <v>85998.8</v>
      </c>
      <c r="AN94" s="13">
        <v>1159462.22</v>
      </c>
      <c r="AO94" s="13">
        <v>577104.4</v>
      </c>
      <c r="AP94" s="13">
        <v>308926.94</v>
      </c>
      <c r="AQ94" s="13">
        <v>864097.05</v>
      </c>
      <c r="AR94" s="13">
        <v>275836</v>
      </c>
      <c r="AS94" s="13">
        <v>701678.45</v>
      </c>
      <c r="AT94" s="13">
        <v>138791.4</v>
      </c>
      <c r="AU94" s="13">
        <v>1178988.1000000001</v>
      </c>
      <c r="AV94" s="13">
        <v>389670.7</v>
      </c>
      <c r="AW94" s="13">
        <v>169283.25</v>
      </c>
      <c r="AX94" s="13">
        <v>208133.5</v>
      </c>
      <c r="AY94" s="13">
        <v>760094.46</v>
      </c>
      <c r="AZ94" s="13">
        <v>294566.65000000002</v>
      </c>
      <c r="BA94" s="13">
        <v>851797.28</v>
      </c>
      <c r="BB94" s="13">
        <v>5583205.9400000004</v>
      </c>
      <c r="BC94" s="13">
        <v>247749.75</v>
      </c>
      <c r="BD94" s="13">
        <f t="shared" si="38"/>
        <v>86934292.530000001</v>
      </c>
      <c r="BE94" s="13">
        <f t="shared" si="39"/>
        <v>62098547.860000007</v>
      </c>
      <c r="BF94" s="13">
        <f t="shared" si="40"/>
        <v>8713566.9199999999</v>
      </c>
      <c r="BG94" s="13">
        <f t="shared" si="41"/>
        <v>16122177.75</v>
      </c>
    </row>
    <row r="95" spans="2:59" x14ac:dyDescent="0.2">
      <c r="C95" s="8">
        <v>425</v>
      </c>
      <c r="D95" s="8" t="s">
        <v>149</v>
      </c>
      <c r="E95" s="13">
        <v>9021.7999999999993</v>
      </c>
      <c r="F95" s="13">
        <v>2023</v>
      </c>
      <c r="G95" s="13">
        <v>2548.6999999999998</v>
      </c>
      <c r="H95" s="13">
        <v>720</v>
      </c>
      <c r="I95" s="13">
        <v>44728.2</v>
      </c>
      <c r="J95" s="13">
        <v>28413.93</v>
      </c>
      <c r="K95" s="13">
        <v>17212.37</v>
      </c>
      <c r="L95" s="13">
        <v>221347.65</v>
      </c>
      <c r="M95" s="13">
        <v>88784.4</v>
      </c>
      <c r="N95" s="13">
        <v>0</v>
      </c>
      <c r="O95" s="13">
        <v>116735.5</v>
      </c>
      <c r="P95" s="13">
        <v>24336.66</v>
      </c>
      <c r="Q95" s="13">
        <v>759.65</v>
      </c>
      <c r="R95" s="13">
        <v>9732.65</v>
      </c>
      <c r="S95" s="13">
        <v>574.15</v>
      </c>
      <c r="T95" s="13">
        <v>0</v>
      </c>
      <c r="U95" s="13">
        <v>1886.5</v>
      </c>
      <c r="V95" s="13">
        <v>12705.87</v>
      </c>
      <c r="W95" s="13">
        <v>39047.26</v>
      </c>
      <c r="X95" s="13">
        <v>67888.7</v>
      </c>
      <c r="Y95" s="13">
        <v>35360.050000000003</v>
      </c>
      <c r="Z95" s="13">
        <v>14287</v>
      </c>
      <c r="AA95" s="13">
        <v>71165.33</v>
      </c>
      <c r="AB95" s="13">
        <v>208166.35</v>
      </c>
      <c r="AC95" s="13">
        <v>176306.85</v>
      </c>
      <c r="AD95" s="13">
        <v>76183.73</v>
      </c>
      <c r="AE95" s="13">
        <v>375652.44</v>
      </c>
      <c r="AF95" s="13">
        <v>300897.77</v>
      </c>
      <c r="AG95" s="13">
        <v>199299.96</v>
      </c>
      <c r="AH95" s="13">
        <v>63781.65</v>
      </c>
      <c r="AI95" s="13">
        <v>16659.5</v>
      </c>
      <c r="AJ95" s="13">
        <v>159936</v>
      </c>
      <c r="AK95" s="13">
        <v>481580.15</v>
      </c>
      <c r="AL95" s="13">
        <v>578.20000000000005</v>
      </c>
      <c r="AM95" s="13">
        <v>45903.6</v>
      </c>
      <c r="AN95" s="13">
        <v>0</v>
      </c>
      <c r="AO95" s="13">
        <v>233858.61</v>
      </c>
      <c r="AP95" s="13">
        <v>8566.9</v>
      </c>
      <c r="AQ95" s="13">
        <v>133989.6</v>
      </c>
      <c r="AR95" s="13">
        <v>179155.75</v>
      </c>
      <c r="AS95" s="13">
        <v>95305.15</v>
      </c>
      <c r="AT95" s="13">
        <v>59191.66</v>
      </c>
      <c r="AU95" s="13">
        <v>154731.5</v>
      </c>
      <c r="AV95" s="13">
        <v>79084.41</v>
      </c>
      <c r="AW95" s="13">
        <v>153273.35</v>
      </c>
      <c r="AX95" s="13">
        <v>1772</v>
      </c>
      <c r="AY95" s="13">
        <v>225919.65</v>
      </c>
      <c r="AZ95" s="13">
        <v>2634.85</v>
      </c>
      <c r="BA95" s="13">
        <v>8363.7000000000007</v>
      </c>
      <c r="BB95" s="13">
        <v>90747.99</v>
      </c>
      <c r="BC95" s="13">
        <v>161238.85</v>
      </c>
      <c r="BD95" s="13">
        <f t="shared" si="38"/>
        <v>4502059.54</v>
      </c>
      <c r="BE95" s="13">
        <f t="shared" si="39"/>
        <v>620578.29000000015</v>
      </c>
      <c r="BF95" s="13">
        <f t="shared" si="40"/>
        <v>1605649.3299999998</v>
      </c>
      <c r="BG95" s="13">
        <f t="shared" si="41"/>
        <v>2275831.92</v>
      </c>
    </row>
    <row r="96" spans="2:59" x14ac:dyDescent="0.2">
      <c r="C96" s="8">
        <v>426</v>
      </c>
      <c r="D96" s="8" t="s">
        <v>150</v>
      </c>
      <c r="E96" s="13">
        <v>39139.599999999999</v>
      </c>
      <c r="F96" s="13">
        <v>3825.85</v>
      </c>
      <c r="G96" s="13">
        <v>12214.15</v>
      </c>
      <c r="H96" s="13">
        <v>33872.31</v>
      </c>
      <c r="I96" s="13">
        <v>154749.25</v>
      </c>
      <c r="J96" s="13">
        <v>53095.32</v>
      </c>
      <c r="K96" s="13">
        <v>325924.12</v>
      </c>
      <c r="L96" s="13">
        <v>301834.48</v>
      </c>
      <c r="M96" s="13">
        <v>114594.78</v>
      </c>
      <c r="N96" s="13">
        <v>0</v>
      </c>
      <c r="O96" s="13">
        <v>331044.53999999998</v>
      </c>
      <c r="P96" s="13">
        <v>43436.45</v>
      </c>
      <c r="Q96" s="13">
        <v>695.5</v>
      </c>
      <c r="R96" s="13">
        <v>23793.4</v>
      </c>
      <c r="S96" s="13">
        <v>25769.75</v>
      </c>
      <c r="T96" s="13">
        <v>130626</v>
      </c>
      <c r="U96" s="13">
        <v>38117.75</v>
      </c>
      <c r="V96" s="13">
        <v>9662.1</v>
      </c>
      <c r="W96" s="13">
        <v>69424.800000000003</v>
      </c>
      <c r="X96" s="13">
        <v>5644.7</v>
      </c>
      <c r="Y96" s="13">
        <v>57532.1</v>
      </c>
      <c r="Z96" s="13">
        <v>23634</v>
      </c>
      <c r="AA96" s="13">
        <v>4616.3</v>
      </c>
      <c r="AB96" s="13">
        <v>39074.400000000001</v>
      </c>
      <c r="AC96" s="13">
        <v>22771.599999999999</v>
      </c>
      <c r="AD96" s="13">
        <v>37119.449999999997</v>
      </c>
      <c r="AE96" s="13">
        <v>8681.35</v>
      </c>
      <c r="AF96" s="13">
        <v>28432.45</v>
      </c>
      <c r="AG96" s="13">
        <v>86984.95</v>
      </c>
      <c r="AH96" s="13">
        <v>30418.48</v>
      </c>
      <c r="AI96" s="13">
        <v>10673.03</v>
      </c>
      <c r="AJ96" s="13">
        <v>32865</v>
      </c>
      <c r="AK96" s="13">
        <v>27167.32</v>
      </c>
      <c r="AL96" s="13">
        <v>104502.5</v>
      </c>
      <c r="AM96" s="13">
        <v>11173.9</v>
      </c>
      <c r="AN96" s="13">
        <v>952.95</v>
      </c>
      <c r="AO96" s="13">
        <v>52794.95</v>
      </c>
      <c r="AP96" s="13">
        <v>49603.199999999997</v>
      </c>
      <c r="AQ96" s="13">
        <v>83338</v>
      </c>
      <c r="AR96" s="13">
        <v>26590.2</v>
      </c>
      <c r="AS96" s="13">
        <v>30053.58</v>
      </c>
      <c r="AT96" s="13">
        <v>3814.25</v>
      </c>
      <c r="AU96" s="13">
        <v>84785.600000000006</v>
      </c>
      <c r="AV96" s="13">
        <v>17786.25</v>
      </c>
      <c r="AW96" s="13">
        <v>1044.75</v>
      </c>
      <c r="AX96" s="13">
        <v>14915</v>
      </c>
      <c r="AY96" s="13">
        <v>63943.5</v>
      </c>
      <c r="AZ96" s="13">
        <v>25998.880000000001</v>
      </c>
      <c r="BA96" s="13">
        <v>150722.45000000001</v>
      </c>
      <c r="BB96" s="13">
        <v>299344.08</v>
      </c>
      <c r="BC96" s="13">
        <v>23982.15</v>
      </c>
      <c r="BD96" s="13">
        <f t="shared" si="38"/>
        <v>3172781.4700000007</v>
      </c>
      <c r="BE96" s="13">
        <f t="shared" si="39"/>
        <v>1711820.15</v>
      </c>
      <c r="BF96" s="13">
        <f t="shared" si="40"/>
        <v>355582.81</v>
      </c>
      <c r="BG96" s="13">
        <f t="shared" si="41"/>
        <v>1105378.51</v>
      </c>
    </row>
    <row r="97" spans="2:59" x14ac:dyDescent="0.2">
      <c r="C97" s="8">
        <v>427</v>
      </c>
      <c r="D97" s="8" t="s">
        <v>151</v>
      </c>
      <c r="E97" s="13">
        <v>300</v>
      </c>
      <c r="F97" s="13">
        <v>0</v>
      </c>
      <c r="G97" s="13">
        <v>0</v>
      </c>
      <c r="H97" s="13">
        <v>0</v>
      </c>
      <c r="I97" s="13">
        <v>920</v>
      </c>
      <c r="J97" s="13">
        <v>160</v>
      </c>
      <c r="K97" s="13">
        <v>0</v>
      </c>
      <c r="L97" s="13">
        <v>108951.28</v>
      </c>
      <c r="M97" s="13">
        <v>0</v>
      </c>
      <c r="N97" s="13">
        <v>0</v>
      </c>
      <c r="O97" s="13">
        <v>13910</v>
      </c>
      <c r="P97" s="13">
        <v>0</v>
      </c>
      <c r="Q97" s="13">
        <v>0</v>
      </c>
      <c r="R97" s="13">
        <v>0</v>
      </c>
      <c r="S97" s="13">
        <v>200</v>
      </c>
      <c r="T97" s="13">
        <v>100</v>
      </c>
      <c r="U97" s="13">
        <v>0</v>
      </c>
      <c r="V97" s="13">
        <v>0</v>
      </c>
      <c r="W97" s="13">
        <v>0</v>
      </c>
      <c r="X97" s="13">
        <v>0</v>
      </c>
      <c r="Y97" s="13">
        <v>1000</v>
      </c>
      <c r="Z97" s="13">
        <v>0</v>
      </c>
      <c r="AA97" s="13">
        <v>0</v>
      </c>
      <c r="AB97" s="13">
        <v>0</v>
      </c>
      <c r="AC97" s="13">
        <v>0</v>
      </c>
      <c r="AD97" s="13">
        <v>0</v>
      </c>
      <c r="AE97" s="13">
        <v>0</v>
      </c>
      <c r="AF97" s="13">
        <v>1930</v>
      </c>
      <c r="AG97" s="13">
        <v>22168</v>
      </c>
      <c r="AH97" s="13">
        <v>0</v>
      </c>
      <c r="AI97" s="13">
        <v>0</v>
      </c>
      <c r="AJ97" s="13">
        <v>0</v>
      </c>
      <c r="AK97" s="13">
        <v>0</v>
      </c>
      <c r="AL97" s="13">
        <v>0</v>
      </c>
      <c r="AM97" s="13">
        <v>0</v>
      </c>
      <c r="AN97" s="13">
        <v>200</v>
      </c>
      <c r="AO97" s="13">
        <v>0</v>
      </c>
      <c r="AP97" s="13">
        <v>0</v>
      </c>
      <c r="AQ97" s="13">
        <v>220</v>
      </c>
      <c r="AR97" s="13">
        <v>0</v>
      </c>
      <c r="AS97" s="13">
        <v>0</v>
      </c>
      <c r="AT97" s="13">
        <v>0</v>
      </c>
      <c r="AU97" s="13">
        <v>2050</v>
      </c>
      <c r="AV97" s="13">
        <v>0</v>
      </c>
      <c r="AW97" s="13">
        <v>0</v>
      </c>
      <c r="AX97" s="13">
        <v>0</v>
      </c>
      <c r="AY97" s="13">
        <v>900</v>
      </c>
      <c r="AZ97" s="13">
        <v>0</v>
      </c>
      <c r="BA97" s="13">
        <v>300</v>
      </c>
      <c r="BB97" s="13">
        <v>152483.6</v>
      </c>
      <c r="BC97" s="13">
        <v>1142</v>
      </c>
      <c r="BD97" s="13">
        <f t="shared" si="38"/>
        <v>306934.88</v>
      </c>
      <c r="BE97" s="13">
        <f t="shared" si="39"/>
        <v>124541.28</v>
      </c>
      <c r="BF97" s="13">
        <f t="shared" si="40"/>
        <v>25098</v>
      </c>
      <c r="BG97" s="13">
        <f t="shared" si="41"/>
        <v>157295.6</v>
      </c>
    </row>
    <row r="98" spans="2:59" x14ac:dyDescent="0.2">
      <c r="C98" s="8">
        <v>429</v>
      </c>
      <c r="D98" s="8" t="s">
        <v>152</v>
      </c>
      <c r="E98" s="13">
        <v>0</v>
      </c>
      <c r="F98" s="13">
        <v>0</v>
      </c>
      <c r="G98" s="13">
        <v>0</v>
      </c>
      <c r="H98" s="13">
        <v>0</v>
      </c>
      <c r="I98" s="13">
        <v>0</v>
      </c>
      <c r="J98" s="13">
        <v>0</v>
      </c>
      <c r="K98" s="13">
        <v>0</v>
      </c>
      <c r="L98" s="13">
        <v>0</v>
      </c>
      <c r="M98" s="13">
        <v>0</v>
      </c>
      <c r="N98" s="13">
        <v>0</v>
      </c>
      <c r="O98" s="13">
        <v>18345.3</v>
      </c>
      <c r="P98" s="13">
        <v>0</v>
      </c>
      <c r="Q98" s="13">
        <v>0</v>
      </c>
      <c r="R98" s="13">
        <v>0</v>
      </c>
      <c r="S98" s="13">
        <v>0</v>
      </c>
      <c r="T98" s="13">
        <v>0</v>
      </c>
      <c r="U98" s="13">
        <v>604.35</v>
      </c>
      <c r="V98" s="13">
        <v>0</v>
      </c>
      <c r="W98" s="13">
        <v>0</v>
      </c>
      <c r="X98" s="13">
        <v>1368.75</v>
      </c>
      <c r="Y98" s="13">
        <v>0</v>
      </c>
      <c r="Z98" s="13">
        <v>97990.399999999994</v>
      </c>
      <c r="AA98" s="13">
        <v>868.3</v>
      </c>
      <c r="AB98" s="13">
        <v>0</v>
      </c>
      <c r="AC98" s="13">
        <v>470</v>
      </c>
      <c r="AD98" s="13">
        <v>0</v>
      </c>
      <c r="AE98" s="13">
        <v>0</v>
      </c>
      <c r="AF98" s="13">
        <v>0</v>
      </c>
      <c r="AG98" s="13">
        <v>0</v>
      </c>
      <c r="AH98" s="13">
        <v>0</v>
      </c>
      <c r="AI98" s="13">
        <v>3507.05</v>
      </c>
      <c r="AJ98" s="13">
        <v>0</v>
      </c>
      <c r="AK98" s="13">
        <v>0</v>
      </c>
      <c r="AL98" s="13">
        <v>0</v>
      </c>
      <c r="AM98" s="13">
        <v>0</v>
      </c>
      <c r="AN98" s="13">
        <v>9683.25</v>
      </c>
      <c r="AO98" s="13">
        <v>0</v>
      </c>
      <c r="AP98" s="13">
        <v>0</v>
      </c>
      <c r="AQ98" s="13">
        <v>0</v>
      </c>
      <c r="AR98" s="13">
        <v>0</v>
      </c>
      <c r="AS98" s="13">
        <v>0</v>
      </c>
      <c r="AT98" s="13">
        <v>0</v>
      </c>
      <c r="AU98" s="13">
        <v>0</v>
      </c>
      <c r="AV98" s="13">
        <v>0</v>
      </c>
      <c r="AW98" s="13">
        <v>0</v>
      </c>
      <c r="AX98" s="13">
        <v>0</v>
      </c>
      <c r="AY98" s="13">
        <v>0</v>
      </c>
      <c r="AZ98" s="13">
        <v>0</v>
      </c>
      <c r="BA98" s="13">
        <v>0</v>
      </c>
      <c r="BB98" s="13">
        <v>0</v>
      </c>
      <c r="BC98" s="13">
        <v>0</v>
      </c>
      <c r="BD98" s="13">
        <f t="shared" si="38"/>
        <v>132837.4</v>
      </c>
      <c r="BE98" s="13">
        <f t="shared" si="39"/>
        <v>18949.649999999998</v>
      </c>
      <c r="BF98" s="13">
        <f t="shared" si="40"/>
        <v>104204.5</v>
      </c>
      <c r="BG98" s="13">
        <f t="shared" si="41"/>
        <v>9683.25</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42">F101+F102+F103+F104</f>
        <v>1769.8</v>
      </c>
      <c r="G100" s="78">
        <f t="shared" si="42"/>
        <v>0</v>
      </c>
      <c r="H100" s="78">
        <f t="shared" si="42"/>
        <v>0</v>
      </c>
      <c r="I100" s="78">
        <f t="shared" si="42"/>
        <v>0</v>
      </c>
      <c r="J100" s="78">
        <f t="shared" si="42"/>
        <v>0</v>
      </c>
      <c r="K100" s="78">
        <f t="shared" si="42"/>
        <v>0</v>
      </c>
      <c r="L100" s="78">
        <f t="shared" si="42"/>
        <v>2119262.7599999998</v>
      </c>
      <c r="M100" s="78">
        <f t="shared" si="42"/>
        <v>8390.9500000000007</v>
      </c>
      <c r="N100" s="78">
        <f t="shared" si="42"/>
        <v>9841.15</v>
      </c>
      <c r="O100" s="78">
        <f t="shared" si="42"/>
        <v>50452.5</v>
      </c>
      <c r="P100" s="78">
        <f t="shared" si="42"/>
        <v>0</v>
      </c>
      <c r="Q100" s="78">
        <f t="shared" si="42"/>
        <v>0</v>
      </c>
      <c r="R100" s="78">
        <f t="shared" si="42"/>
        <v>0</v>
      </c>
      <c r="S100" s="78">
        <f t="shared" si="42"/>
        <v>0</v>
      </c>
      <c r="T100" s="78">
        <f t="shared" si="42"/>
        <v>10884.55</v>
      </c>
      <c r="U100" s="78">
        <f t="shared" si="42"/>
        <v>150</v>
      </c>
      <c r="V100" s="78">
        <f t="shared" si="42"/>
        <v>2216.8000000000002</v>
      </c>
      <c r="W100" s="78">
        <f t="shared" si="42"/>
        <v>6533.06</v>
      </c>
      <c r="X100" s="78">
        <f t="shared" si="42"/>
        <v>0</v>
      </c>
      <c r="Y100" s="78">
        <f t="shared" si="42"/>
        <v>6924.5</v>
      </c>
      <c r="Z100" s="78">
        <f t="shared" si="42"/>
        <v>0</v>
      </c>
      <c r="AA100" s="78">
        <f t="shared" si="42"/>
        <v>11623.25</v>
      </c>
      <c r="AB100" s="78">
        <f t="shared" si="42"/>
        <v>0</v>
      </c>
      <c r="AC100" s="78">
        <f t="shared" si="42"/>
        <v>2841.11</v>
      </c>
      <c r="AD100" s="78">
        <f t="shared" si="42"/>
        <v>1425.25</v>
      </c>
      <c r="AE100" s="78">
        <f t="shared" si="42"/>
        <v>0</v>
      </c>
      <c r="AF100" s="78">
        <f t="shared" si="42"/>
        <v>10480</v>
      </c>
      <c r="AG100" s="78">
        <f t="shared" si="42"/>
        <v>51235.1</v>
      </c>
      <c r="AH100" s="78">
        <f t="shared" si="42"/>
        <v>0</v>
      </c>
      <c r="AI100" s="78">
        <f t="shared" si="42"/>
        <v>-2567.6999999999998</v>
      </c>
      <c r="AJ100" s="78">
        <f t="shared" si="42"/>
        <v>0</v>
      </c>
      <c r="AK100" s="78">
        <f t="shared" si="42"/>
        <v>26974.6</v>
      </c>
      <c r="AL100" s="78">
        <f t="shared" si="42"/>
        <v>0</v>
      </c>
      <c r="AM100" s="78">
        <f t="shared" si="42"/>
        <v>0</v>
      </c>
      <c r="AN100" s="78">
        <f t="shared" si="42"/>
        <v>0</v>
      </c>
      <c r="AO100" s="78">
        <f t="shared" si="42"/>
        <v>0</v>
      </c>
      <c r="AP100" s="78">
        <f t="shared" si="42"/>
        <v>0</v>
      </c>
      <c r="AQ100" s="78">
        <f t="shared" si="42"/>
        <v>111</v>
      </c>
      <c r="AR100" s="78">
        <f t="shared" si="42"/>
        <v>0</v>
      </c>
      <c r="AS100" s="78">
        <f t="shared" si="42"/>
        <v>0</v>
      </c>
      <c r="AT100" s="78">
        <f t="shared" si="42"/>
        <v>0</v>
      </c>
      <c r="AU100" s="78">
        <f t="shared" si="42"/>
        <v>0</v>
      </c>
      <c r="AV100" s="78">
        <f t="shared" si="42"/>
        <v>1830</v>
      </c>
      <c r="AW100" s="78">
        <f t="shared" si="42"/>
        <v>0</v>
      </c>
      <c r="AX100" s="78">
        <f t="shared" si="42"/>
        <v>0</v>
      </c>
      <c r="AY100" s="78">
        <f t="shared" si="42"/>
        <v>0</v>
      </c>
      <c r="AZ100" s="78">
        <f t="shared" si="42"/>
        <v>0</v>
      </c>
      <c r="BA100" s="78">
        <f t="shared" si="42"/>
        <v>5491</v>
      </c>
      <c r="BB100" s="78">
        <f t="shared" si="42"/>
        <v>16219.91</v>
      </c>
      <c r="BC100" s="78">
        <f t="shared" si="42"/>
        <v>0</v>
      </c>
      <c r="BD100" s="78">
        <f t="shared" si="42"/>
        <v>2342089.59</v>
      </c>
      <c r="BE100" s="78">
        <f t="shared" si="42"/>
        <v>2209501.5699999998</v>
      </c>
      <c r="BF100" s="78">
        <f t="shared" si="42"/>
        <v>81961.509999999995</v>
      </c>
      <c r="BG100" s="78">
        <f t="shared" si="42"/>
        <v>50626.509999999995</v>
      </c>
    </row>
    <row r="101" spans="2:59" x14ac:dyDescent="0.2">
      <c r="C101" s="8">
        <v>430</v>
      </c>
      <c r="D101" s="8" t="s">
        <v>154</v>
      </c>
      <c r="E101" s="13">
        <v>0</v>
      </c>
      <c r="F101" s="13">
        <v>1769.8</v>
      </c>
      <c r="G101" s="13">
        <v>0</v>
      </c>
      <c r="H101" s="13">
        <v>0</v>
      </c>
      <c r="I101" s="13">
        <v>0</v>
      </c>
      <c r="J101" s="13">
        <v>0</v>
      </c>
      <c r="K101" s="13">
        <v>0</v>
      </c>
      <c r="L101" s="13">
        <v>2119262.7599999998</v>
      </c>
      <c r="M101" s="13">
        <v>8390.9500000000007</v>
      </c>
      <c r="N101" s="13">
        <v>0</v>
      </c>
      <c r="O101" s="13">
        <v>0</v>
      </c>
      <c r="P101" s="13">
        <v>0</v>
      </c>
      <c r="Q101" s="13">
        <v>0</v>
      </c>
      <c r="R101" s="13">
        <v>0</v>
      </c>
      <c r="S101" s="13">
        <v>0</v>
      </c>
      <c r="T101" s="13">
        <v>0</v>
      </c>
      <c r="U101" s="13">
        <v>0</v>
      </c>
      <c r="V101" s="13">
        <v>1200</v>
      </c>
      <c r="W101" s="13">
        <v>6533.06</v>
      </c>
      <c r="X101" s="13">
        <v>0</v>
      </c>
      <c r="Y101" s="13">
        <v>250</v>
      </c>
      <c r="Z101" s="13">
        <v>0</v>
      </c>
      <c r="AA101" s="13">
        <v>4000</v>
      </c>
      <c r="AB101" s="13">
        <v>0</v>
      </c>
      <c r="AC101" s="13">
        <v>2841.11</v>
      </c>
      <c r="AD101" s="13">
        <v>0</v>
      </c>
      <c r="AE101" s="13">
        <v>0</v>
      </c>
      <c r="AF101" s="13">
        <v>0</v>
      </c>
      <c r="AG101" s="13">
        <v>51235.1</v>
      </c>
      <c r="AH101" s="13">
        <v>0</v>
      </c>
      <c r="AI101" s="13">
        <v>0</v>
      </c>
      <c r="AJ101" s="13">
        <v>0</v>
      </c>
      <c r="AK101" s="13">
        <v>26974.6</v>
      </c>
      <c r="AL101" s="13">
        <v>0</v>
      </c>
      <c r="AM101" s="13">
        <v>0</v>
      </c>
      <c r="AN101" s="13">
        <v>0</v>
      </c>
      <c r="AO101" s="13">
        <v>0</v>
      </c>
      <c r="AP101" s="13">
        <v>0</v>
      </c>
      <c r="AQ101" s="13">
        <v>111</v>
      </c>
      <c r="AR101" s="13">
        <v>0</v>
      </c>
      <c r="AS101" s="13">
        <v>0</v>
      </c>
      <c r="AT101" s="13">
        <v>0</v>
      </c>
      <c r="AU101" s="13">
        <v>0</v>
      </c>
      <c r="AV101" s="13">
        <v>0</v>
      </c>
      <c r="AW101" s="13">
        <v>0</v>
      </c>
      <c r="AX101" s="13">
        <v>0</v>
      </c>
      <c r="AY101" s="13">
        <v>0</v>
      </c>
      <c r="AZ101" s="13">
        <v>0</v>
      </c>
      <c r="BA101" s="13">
        <v>5491</v>
      </c>
      <c r="BB101" s="13">
        <v>16219.91</v>
      </c>
      <c r="BC101" s="13">
        <v>0</v>
      </c>
      <c r="BD101" s="13">
        <f>SUM(E101:BC101)</f>
        <v>2244279.29</v>
      </c>
      <c r="BE101" s="13">
        <f>SUM(E101:W101)</f>
        <v>2137156.5699999998</v>
      </c>
      <c r="BF101" s="13">
        <f>SUM(X101:AI101)</f>
        <v>58326.21</v>
      </c>
      <c r="BG101" s="13">
        <f>SUM(AJ101:BC101)</f>
        <v>48796.509999999995</v>
      </c>
    </row>
    <row r="102" spans="2:59" x14ac:dyDescent="0.2">
      <c r="C102" s="8">
        <v>431</v>
      </c>
      <c r="D102" s="8" t="s">
        <v>155</v>
      </c>
      <c r="E102" s="13">
        <v>0</v>
      </c>
      <c r="F102" s="13">
        <v>0</v>
      </c>
      <c r="G102" s="13">
        <v>0</v>
      </c>
      <c r="H102" s="13">
        <v>0</v>
      </c>
      <c r="I102" s="13">
        <v>0</v>
      </c>
      <c r="J102" s="13">
        <v>0</v>
      </c>
      <c r="K102" s="13">
        <v>0</v>
      </c>
      <c r="L102" s="13">
        <v>0</v>
      </c>
      <c r="M102" s="13">
        <v>0</v>
      </c>
      <c r="N102" s="13">
        <v>0</v>
      </c>
      <c r="O102" s="13">
        <v>50452.5</v>
      </c>
      <c r="P102" s="13">
        <v>0</v>
      </c>
      <c r="Q102" s="13">
        <v>0</v>
      </c>
      <c r="R102" s="13">
        <v>0</v>
      </c>
      <c r="S102" s="13">
        <v>0</v>
      </c>
      <c r="T102" s="13">
        <v>0</v>
      </c>
      <c r="U102" s="13">
        <v>0</v>
      </c>
      <c r="V102" s="13">
        <v>0</v>
      </c>
      <c r="W102" s="13">
        <v>0</v>
      </c>
      <c r="X102" s="13">
        <v>0</v>
      </c>
      <c r="Y102" s="13">
        <v>0</v>
      </c>
      <c r="Z102" s="13">
        <v>0</v>
      </c>
      <c r="AA102" s="13">
        <v>4062.35</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f>SUM(E102:BC102)</f>
        <v>54514.85</v>
      </c>
      <c r="BE102" s="13">
        <f>SUM(E102:W102)</f>
        <v>50452.5</v>
      </c>
      <c r="BF102" s="13">
        <f>SUM(X102:AI102)</f>
        <v>4062.35</v>
      </c>
      <c r="BG102" s="13">
        <f>SUM(AJ102:BC102)</f>
        <v>0</v>
      </c>
    </row>
    <row r="103" spans="2:59"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576.79999999999995</v>
      </c>
      <c r="W103" s="13">
        <v>0</v>
      </c>
      <c r="X103" s="13">
        <v>0</v>
      </c>
      <c r="Y103" s="13">
        <v>6674.5</v>
      </c>
      <c r="Z103" s="13">
        <v>0</v>
      </c>
      <c r="AA103" s="13">
        <v>3190.7</v>
      </c>
      <c r="AB103" s="13">
        <v>0</v>
      </c>
      <c r="AC103" s="13">
        <v>0</v>
      </c>
      <c r="AD103" s="13">
        <v>0</v>
      </c>
      <c r="AE103" s="13">
        <v>0</v>
      </c>
      <c r="AF103" s="13">
        <v>0</v>
      </c>
      <c r="AG103" s="13">
        <v>0</v>
      </c>
      <c r="AH103" s="13">
        <v>0</v>
      </c>
      <c r="AI103" s="13">
        <v>-2721.45</v>
      </c>
      <c r="AJ103" s="13">
        <v>0</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f>SUM(E103:BC103)</f>
        <v>7720.55</v>
      </c>
      <c r="BE103" s="13">
        <f>SUM(E103:W103)</f>
        <v>576.79999999999995</v>
      </c>
      <c r="BF103" s="13">
        <f>SUM(X103:AI103)</f>
        <v>7143.7500000000009</v>
      </c>
      <c r="BG103" s="13">
        <f>SUM(AJ103:BC103)</f>
        <v>0</v>
      </c>
    </row>
    <row r="104" spans="2:59" x14ac:dyDescent="0.2">
      <c r="C104" s="8">
        <v>439</v>
      </c>
      <c r="D104" s="8" t="s">
        <v>157</v>
      </c>
      <c r="E104" s="13">
        <v>0</v>
      </c>
      <c r="F104" s="13">
        <v>0</v>
      </c>
      <c r="G104" s="13">
        <v>0</v>
      </c>
      <c r="H104" s="13">
        <v>0</v>
      </c>
      <c r="I104" s="13">
        <v>0</v>
      </c>
      <c r="J104" s="13">
        <v>0</v>
      </c>
      <c r="K104" s="13">
        <v>0</v>
      </c>
      <c r="L104" s="13">
        <v>0</v>
      </c>
      <c r="M104" s="13">
        <v>0</v>
      </c>
      <c r="N104" s="13">
        <v>9841.15</v>
      </c>
      <c r="O104" s="13">
        <v>0</v>
      </c>
      <c r="P104" s="13">
        <v>0</v>
      </c>
      <c r="Q104" s="13">
        <v>0</v>
      </c>
      <c r="R104" s="13">
        <v>0</v>
      </c>
      <c r="S104" s="13">
        <v>0</v>
      </c>
      <c r="T104" s="13">
        <v>10884.55</v>
      </c>
      <c r="U104" s="13">
        <v>150</v>
      </c>
      <c r="V104" s="13">
        <v>440</v>
      </c>
      <c r="W104" s="13">
        <v>0</v>
      </c>
      <c r="X104" s="13">
        <v>0</v>
      </c>
      <c r="Y104" s="13">
        <v>0</v>
      </c>
      <c r="Z104" s="13">
        <v>0</v>
      </c>
      <c r="AA104" s="13">
        <v>370.2</v>
      </c>
      <c r="AB104" s="13">
        <v>0</v>
      </c>
      <c r="AC104" s="13">
        <v>0</v>
      </c>
      <c r="AD104" s="13">
        <v>1425.25</v>
      </c>
      <c r="AE104" s="13">
        <v>0</v>
      </c>
      <c r="AF104" s="13">
        <v>10480</v>
      </c>
      <c r="AG104" s="13">
        <v>0</v>
      </c>
      <c r="AH104" s="13">
        <v>0</v>
      </c>
      <c r="AI104" s="13">
        <v>153.75</v>
      </c>
      <c r="AJ104" s="13">
        <v>0</v>
      </c>
      <c r="AK104" s="13">
        <v>0</v>
      </c>
      <c r="AL104" s="13">
        <v>0</v>
      </c>
      <c r="AM104" s="13">
        <v>0</v>
      </c>
      <c r="AN104" s="13">
        <v>0</v>
      </c>
      <c r="AO104" s="13">
        <v>0</v>
      </c>
      <c r="AP104" s="13">
        <v>0</v>
      </c>
      <c r="AQ104" s="13">
        <v>0</v>
      </c>
      <c r="AR104" s="13">
        <v>0</v>
      </c>
      <c r="AS104" s="13">
        <v>0</v>
      </c>
      <c r="AT104" s="13">
        <v>0</v>
      </c>
      <c r="AU104" s="13">
        <v>0</v>
      </c>
      <c r="AV104" s="13">
        <v>1830</v>
      </c>
      <c r="AW104" s="13">
        <v>0</v>
      </c>
      <c r="AX104" s="13">
        <v>0</v>
      </c>
      <c r="AY104" s="13">
        <v>0</v>
      </c>
      <c r="AZ104" s="13">
        <v>0</v>
      </c>
      <c r="BA104" s="13">
        <v>0</v>
      </c>
      <c r="BB104" s="13">
        <v>0</v>
      </c>
      <c r="BC104" s="13">
        <v>0</v>
      </c>
      <c r="BD104" s="13">
        <f>SUM(E104:BC104)</f>
        <v>35574.899999999994</v>
      </c>
      <c r="BE104" s="13">
        <f>SUM(E104:W104)</f>
        <v>21315.699999999997</v>
      </c>
      <c r="BF104" s="13">
        <f>SUM(X104:AI104)</f>
        <v>12429.2</v>
      </c>
      <c r="BG104" s="13">
        <f>SUM(AJ104:BC104)</f>
        <v>1830</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67439.509999999995</v>
      </c>
      <c r="F106" s="78">
        <f t="shared" ref="F106:BG106" si="43">F107+F108+F109+F110+F111+F112+F113+F114+F115+F116</f>
        <v>33692.589999999997</v>
      </c>
      <c r="G106" s="78">
        <f t="shared" si="43"/>
        <v>357085.65</v>
      </c>
      <c r="H106" s="78">
        <f t="shared" si="43"/>
        <v>136105.03999999998</v>
      </c>
      <c r="I106" s="78">
        <f t="shared" si="43"/>
        <v>627492.29999999993</v>
      </c>
      <c r="J106" s="78">
        <f t="shared" si="43"/>
        <v>321947.46000000002</v>
      </c>
      <c r="K106" s="78">
        <f t="shared" si="43"/>
        <v>305626.57</v>
      </c>
      <c r="L106" s="78">
        <f t="shared" si="43"/>
        <v>5958525.0899999999</v>
      </c>
      <c r="M106" s="78">
        <f t="shared" si="43"/>
        <v>81625.97</v>
      </c>
      <c r="N106" s="78">
        <f t="shared" si="43"/>
        <v>22751.89</v>
      </c>
      <c r="O106" s="78">
        <f t="shared" si="43"/>
        <v>959249.87</v>
      </c>
      <c r="P106" s="78">
        <f t="shared" si="43"/>
        <v>76100.67</v>
      </c>
      <c r="Q106" s="78">
        <f t="shared" si="43"/>
        <v>18049.989999999998</v>
      </c>
      <c r="R106" s="78">
        <f t="shared" si="43"/>
        <v>249488.62000000002</v>
      </c>
      <c r="S106" s="78">
        <f t="shared" si="43"/>
        <v>101091.93</v>
      </c>
      <c r="T106" s="78">
        <f t="shared" si="43"/>
        <v>97064.280000000013</v>
      </c>
      <c r="U106" s="78">
        <f t="shared" si="43"/>
        <v>45816.020000000004</v>
      </c>
      <c r="V106" s="78">
        <f t="shared" si="43"/>
        <v>78449.279999999999</v>
      </c>
      <c r="W106" s="78">
        <f t="shared" si="43"/>
        <v>486399.79000000004</v>
      </c>
      <c r="X106" s="78">
        <f t="shared" si="43"/>
        <v>71291.209999999992</v>
      </c>
      <c r="Y106" s="78">
        <f t="shared" si="43"/>
        <v>128977.41</v>
      </c>
      <c r="Z106" s="78">
        <f t="shared" si="43"/>
        <v>468360.37</v>
      </c>
      <c r="AA106" s="78">
        <f t="shared" si="43"/>
        <v>39937.1</v>
      </c>
      <c r="AB106" s="78">
        <f t="shared" si="43"/>
        <v>116028.01999999999</v>
      </c>
      <c r="AC106" s="78">
        <f t="shared" si="43"/>
        <v>186271.63</v>
      </c>
      <c r="AD106" s="78">
        <f t="shared" si="43"/>
        <v>39044.86</v>
      </c>
      <c r="AE106" s="78">
        <f t="shared" si="43"/>
        <v>542589.98</v>
      </c>
      <c r="AF106" s="78">
        <f t="shared" si="43"/>
        <v>329390.99</v>
      </c>
      <c r="AG106" s="78">
        <f t="shared" si="43"/>
        <v>414904</v>
      </c>
      <c r="AH106" s="78">
        <f t="shared" si="43"/>
        <v>42343.55</v>
      </c>
      <c r="AI106" s="78">
        <f t="shared" si="43"/>
        <v>38960.68</v>
      </c>
      <c r="AJ106" s="78">
        <f t="shared" si="43"/>
        <v>206635.25</v>
      </c>
      <c r="AK106" s="78">
        <f t="shared" si="43"/>
        <v>1245599.8800000001</v>
      </c>
      <c r="AL106" s="78">
        <f t="shared" si="43"/>
        <v>172069.73</v>
      </c>
      <c r="AM106" s="78">
        <f t="shared" si="43"/>
        <v>28049.54</v>
      </c>
      <c r="AN106" s="78">
        <f t="shared" si="43"/>
        <v>309546.28000000003</v>
      </c>
      <c r="AO106" s="78">
        <f t="shared" si="43"/>
        <v>139756.62</v>
      </c>
      <c r="AP106" s="78">
        <f t="shared" si="43"/>
        <v>175299.1</v>
      </c>
      <c r="AQ106" s="78">
        <f t="shared" si="43"/>
        <v>645671.41</v>
      </c>
      <c r="AR106" s="78">
        <f t="shared" si="43"/>
        <v>218496.21</v>
      </c>
      <c r="AS106" s="78">
        <f t="shared" si="43"/>
        <v>189508.43</v>
      </c>
      <c r="AT106" s="78">
        <f t="shared" si="43"/>
        <v>50449.56</v>
      </c>
      <c r="AU106" s="78">
        <f t="shared" si="43"/>
        <v>182348.42</v>
      </c>
      <c r="AV106" s="78">
        <f t="shared" si="43"/>
        <v>66899.600000000006</v>
      </c>
      <c r="AW106" s="78">
        <f t="shared" si="43"/>
        <v>41389.49</v>
      </c>
      <c r="AX106" s="78">
        <f t="shared" si="43"/>
        <v>73996.09</v>
      </c>
      <c r="AY106" s="78">
        <f t="shared" si="43"/>
        <v>193471.94</v>
      </c>
      <c r="AZ106" s="78">
        <f t="shared" si="43"/>
        <v>60706.78</v>
      </c>
      <c r="BA106" s="78">
        <f t="shared" si="43"/>
        <v>342704.86</v>
      </c>
      <c r="BB106" s="78">
        <f t="shared" si="43"/>
        <v>2138875.12</v>
      </c>
      <c r="BC106" s="78">
        <f t="shared" si="43"/>
        <v>128945.42000000001</v>
      </c>
      <c r="BD106" s="78">
        <f t="shared" si="43"/>
        <v>19052522.049999997</v>
      </c>
      <c r="BE106" s="78">
        <f t="shared" si="43"/>
        <v>10024002.520000001</v>
      </c>
      <c r="BF106" s="78">
        <f t="shared" si="43"/>
        <v>2418099.7999999998</v>
      </c>
      <c r="BG106" s="78">
        <f t="shared" si="43"/>
        <v>6610419.7300000004</v>
      </c>
    </row>
    <row r="107" spans="2:59" x14ac:dyDescent="0.2">
      <c r="C107" s="8">
        <v>440</v>
      </c>
      <c r="D107" s="8" t="s">
        <v>159</v>
      </c>
      <c r="E107" s="13">
        <v>41590.01</v>
      </c>
      <c r="F107" s="13">
        <v>5897.59</v>
      </c>
      <c r="G107" s="13">
        <v>16077.69</v>
      </c>
      <c r="H107" s="13">
        <v>7211.04</v>
      </c>
      <c r="I107" s="13">
        <v>118201.59</v>
      </c>
      <c r="J107" s="13">
        <v>94570.16</v>
      </c>
      <c r="K107" s="13">
        <v>61629.97</v>
      </c>
      <c r="L107" s="13">
        <v>1060688.7</v>
      </c>
      <c r="M107" s="13">
        <v>41934.67</v>
      </c>
      <c r="N107" s="13">
        <v>1151.8900000000001</v>
      </c>
      <c r="O107" s="13">
        <v>187957.74</v>
      </c>
      <c r="P107" s="13">
        <v>8150.67</v>
      </c>
      <c r="Q107" s="13">
        <v>2227.9899999999998</v>
      </c>
      <c r="R107" s="13">
        <v>13921.52</v>
      </c>
      <c r="S107" s="13">
        <v>9163.36</v>
      </c>
      <c r="T107" s="13">
        <v>30783.5</v>
      </c>
      <c r="U107" s="13">
        <v>6146.02</v>
      </c>
      <c r="V107" s="13">
        <v>17282.080000000002</v>
      </c>
      <c r="W107" s="13">
        <v>88393.21</v>
      </c>
      <c r="X107" s="13">
        <v>9968.2099999999991</v>
      </c>
      <c r="Y107" s="13">
        <v>61988.41</v>
      </c>
      <c r="Z107" s="13">
        <v>163256.82</v>
      </c>
      <c r="AA107" s="13">
        <v>4939.1000000000004</v>
      </c>
      <c r="AB107" s="13">
        <v>17859.07</v>
      </c>
      <c r="AC107" s="13">
        <v>12477.43</v>
      </c>
      <c r="AD107" s="13">
        <v>20898.86</v>
      </c>
      <c r="AE107" s="13">
        <v>12743.48</v>
      </c>
      <c r="AF107" s="13">
        <v>53241.17</v>
      </c>
      <c r="AG107" s="13">
        <v>93461.4</v>
      </c>
      <c r="AH107" s="13">
        <v>12970.67</v>
      </c>
      <c r="AI107" s="13">
        <v>2819.68</v>
      </c>
      <c r="AJ107" s="13">
        <v>84068.94</v>
      </c>
      <c r="AK107" s="13">
        <v>120458.13</v>
      </c>
      <c r="AL107" s="13">
        <v>48407.38</v>
      </c>
      <c r="AM107" s="13">
        <v>8035.44</v>
      </c>
      <c r="AN107" s="13">
        <v>53601.1</v>
      </c>
      <c r="AO107" s="13">
        <v>44757.07</v>
      </c>
      <c r="AP107" s="13">
        <v>29251.75</v>
      </c>
      <c r="AQ107" s="13">
        <v>36630.949999999997</v>
      </c>
      <c r="AR107" s="13">
        <v>37519.21</v>
      </c>
      <c r="AS107" s="13">
        <v>54043.43</v>
      </c>
      <c r="AT107" s="13">
        <v>9061.76</v>
      </c>
      <c r="AU107" s="13">
        <v>93439.88</v>
      </c>
      <c r="AV107" s="13">
        <v>20608.8</v>
      </c>
      <c r="AW107" s="13">
        <v>15776.19</v>
      </c>
      <c r="AX107" s="13">
        <v>12253.09</v>
      </c>
      <c r="AY107" s="13">
        <v>76069.14</v>
      </c>
      <c r="AZ107" s="13">
        <v>25432.080000000002</v>
      </c>
      <c r="BA107" s="13">
        <v>54826.23</v>
      </c>
      <c r="BB107" s="13">
        <v>443493.63</v>
      </c>
      <c r="BC107" s="13">
        <v>68384.05</v>
      </c>
      <c r="BD107" s="13">
        <f t="shared" ref="BD107:BD116" si="44">SUM(E107:BC107)</f>
        <v>3615721.9499999988</v>
      </c>
      <c r="BE107" s="13">
        <f t="shared" ref="BE107:BE116" si="45">SUM(E107:W107)</f>
        <v>1812979.4</v>
      </c>
      <c r="BF107" s="13">
        <f t="shared" ref="BF107:BF116" si="46">SUM(X107:AI107)</f>
        <v>466624.29999999993</v>
      </c>
      <c r="BG107" s="13">
        <f t="shared" ref="BG107:BG116" si="47">SUM(AJ107:BC107)</f>
        <v>1336118.25</v>
      </c>
    </row>
    <row r="108" spans="2:59" x14ac:dyDescent="0.2">
      <c r="C108" s="8">
        <v>441</v>
      </c>
      <c r="D108" s="8" t="s">
        <v>160</v>
      </c>
      <c r="E108" s="13">
        <v>0</v>
      </c>
      <c r="F108" s="13">
        <v>0</v>
      </c>
      <c r="G108" s="13">
        <v>0</v>
      </c>
      <c r="H108" s="13">
        <v>0</v>
      </c>
      <c r="I108" s="13">
        <v>0</v>
      </c>
      <c r="J108" s="13">
        <v>0</v>
      </c>
      <c r="K108" s="13">
        <v>0</v>
      </c>
      <c r="L108" s="13">
        <v>0</v>
      </c>
      <c r="M108" s="13">
        <v>0</v>
      </c>
      <c r="N108" s="13">
        <v>0</v>
      </c>
      <c r="O108" s="13">
        <v>282677.28000000003</v>
      </c>
      <c r="P108" s="13">
        <v>0</v>
      </c>
      <c r="Q108" s="13">
        <v>0</v>
      </c>
      <c r="R108" s="13">
        <v>0</v>
      </c>
      <c r="S108" s="13">
        <v>0</v>
      </c>
      <c r="T108" s="13">
        <v>0</v>
      </c>
      <c r="U108" s="13">
        <v>0</v>
      </c>
      <c r="V108" s="13">
        <v>0</v>
      </c>
      <c r="W108" s="13">
        <v>32634.63</v>
      </c>
      <c r="X108" s="13">
        <v>0</v>
      </c>
      <c r="Y108" s="13">
        <v>0</v>
      </c>
      <c r="Z108" s="13">
        <v>0</v>
      </c>
      <c r="AA108" s="13">
        <v>0</v>
      </c>
      <c r="AB108" s="13">
        <v>0</v>
      </c>
      <c r="AC108" s="13">
        <v>24223</v>
      </c>
      <c r="AD108" s="13">
        <v>0</v>
      </c>
      <c r="AE108" s="13">
        <v>340550</v>
      </c>
      <c r="AF108" s="13">
        <v>0</v>
      </c>
      <c r="AG108" s="13">
        <v>1382.5</v>
      </c>
      <c r="AH108" s="13">
        <v>0</v>
      </c>
      <c r="AI108" s="13">
        <v>3521</v>
      </c>
      <c r="AJ108" s="13">
        <v>0</v>
      </c>
      <c r="AK108" s="13">
        <v>0</v>
      </c>
      <c r="AL108" s="13">
        <v>0</v>
      </c>
      <c r="AM108" s="13">
        <v>0</v>
      </c>
      <c r="AN108" s="13">
        <v>790</v>
      </c>
      <c r="AO108" s="13">
        <v>0</v>
      </c>
      <c r="AP108" s="13">
        <v>0</v>
      </c>
      <c r="AQ108" s="13">
        <v>2840</v>
      </c>
      <c r="AR108" s="13">
        <v>0</v>
      </c>
      <c r="AS108" s="13">
        <v>0</v>
      </c>
      <c r="AT108" s="13">
        <v>0</v>
      </c>
      <c r="AU108" s="13">
        <v>0</v>
      </c>
      <c r="AV108" s="13">
        <v>0</v>
      </c>
      <c r="AW108" s="13">
        <v>0</v>
      </c>
      <c r="AX108" s="13">
        <v>0</v>
      </c>
      <c r="AY108" s="13">
        <v>0</v>
      </c>
      <c r="AZ108" s="13">
        <v>0</v>
      </c>
      <c r="BA108" s="13">
        <v>0</v>
      </c>
      <c r="BB108" s="13">
        <v>0</v>
      </c>
      <c r="BC108" s="13">
        <v>0</v>
      </c>
      <c r="BD108" s="13">
        <f t="shared" si="44"/>
        <v>688618.41</v>
      </c>
      <c r="BE108" s="13">
        <f t="shared" si="45"/>
        <v>315311.91000000003</v>
      </c>
      <c r="BF108" s="13">
        <f t="shared" si="46"/>
        <v>369676.5</v>
      </c>
      <c r="BG108" s="13">
        <f t="shared" si="47"/>
        <v>3630</v>
      </c>
    </row>
    <row r="109" spans="2:59" x14ac:dyDescent="0.2">
      <c r="C109" s="8">
        <v>442</v>
      </c>
      <c r="D109" s="8" t="s">
        <v>161</v>
      </c>
      <c r="E109" s="13">
        <v>1152.2</v>
      </c>
      <c r="F109" s="13">
        <v>0</v>
      </c>
      <c r="G109" s="13">
        <v>0</v>
      </c>
      <c r="H109" s="13">
        <v>0</v>
      </c>
      <c r="I109" s="13">
        <v>9946.5</v>
      </c>
      <c r="J109" s="13">
        <v>2039.5</v>
      </c>
      <c r="K109" s="13">
        <v>0</v>
      </c>
      <c r="L109" s="13">
        <v>43573</v>
      </c>
      <c r="M109" s="13">
        <v>0</v>
      </c>
      <c r="N109" s="13">
        <v>0</v>
      </c>
      <c r="O109" s="13">
        <v>5156.5</v>
      </c>
      <c r="P109" s="13">
        <v>0</v>
      </c>
      <c r="Q109" s="13">
        <v>23</v>
      </c>
      <c r="R109" s="13">
        <v>0</v>
      </c>
      <c r="S109" s="13">
        <v>3.57</v>
      </c>
      <c r="T109" s="13">
        <v>1357.5</v>
      </c>
      <c r="U109" s="13">
        <v>0</v>
      </c>
      <c r="V109" s="13">
        <v>0</v>
      </c>
      <c r="W109" s="13">
        <v>229</v>
      </c>
      <c r="X109" s="13">
        <v>5</v>
      </c>
      <c r="Y109" s="13">
        <v>0</v>
      </c>
      <c r="Z109" s="13">
        <v>0</v>
      </c>
      <c r="AA109" s="13">
        <v>0</v>
      </c>
      <c r="AB109" s="13">
        <v>0</v>
      </c>
      <c r="AC109" s="13">
        <v>17.5</v>
      </c>
      <c r="AD109" s="13">
        <v>0</v>
      </c>
      <c r="AE109" s="13">
        <v>0</v>
      </c>
      <c r="AF109" s="13">
        <v>13355</v>
      </c>
      <c r="AG109" s="13">
        <v>40500</v>
      </c>
      <c r="AH109" s="13">
        <v>0</v>
      </c>
      <c r="AI109" s="13">
        <v>0</v>
      </c>
      <c r="AJ109" s="13">
        <v>0</v>
      </c>
      <c r="AK109" s="13">
        <v>2430</v>
      </c>
      <c r="AL109" s="13">
        <v>0</v>
      </c>
      <c r="AM109" s="13">
        <v>0</v>
      </c>
      <c r="AN109" s="13">
        <v>0</v>
      </c>
      <c r="AO109" s="13">
        <v>40</v>
      </c>
      <c r="AP109" s="13">
        <v>0</v>
      </c>
      <c r="AQ109" s="13">
        <v>12167.75</v>
      </c>
      <c r="AR109" s="13">
        <v>0</v>
      </c>
      <c r="AS109" s="13">
        <v>380</v>
      </c>
      <c r="AT109" s="13">
        <v>0</v>
      </c>
      <c r="AU109" s="13">
        <v>1647.5</v>
      </c>
      <c r="AV109" s="13">
        <v>3367.25</v>
      </c>
      <c r="AW109" s="13">
        <v>0</v>
      </c>
      <c r="AX109" s="13">
        <v>0</v>
      </c>
      <c r="AY109" s="13">
        <v>0</v>
      </c>
      <c r="AZ109" s="13">
        <v>0</v>
      </c>
      <c r="BA109" s="13">
        <v>1088.43</v>
      </c>
      <c r="BB109" s="13">
        <v>34411.61</v>
      </c>
      <c r="BC109" s="13">
        <v>20</v>
      </c>
      <c r="BD109" s="13">
        <f t="shared" si="44"/>
        <v>172910.81</v>
      </c>
      <c r="BE109" s="13">
        <f t="shared" si="45"/>
        <v>63480.77</v>
      </c>
      <c r="BF109" s="13">
        <f t="shared" si="46"/>
        <v>53877.5</v>
      </c>
      <c r="BG109" s="13">
        <f t="shared" si="47"/>
        <v>55552.54</v>
      </c>
    </row>
    <row r="110" spans="2:59" x14ac:dyDescent="0.2">
      <c r="C110" s="8">
        <v>443</v>
      </c>
      <c r="D110" s="8" t="s">
        <v>162</v>
      </c>
      <c r="E110" s="13">
        <v>23711.5</v>
      </c>
      <c r="F110" s="13">
        <v>22320</v>
      </c>
      <c r="G110" s="13">
        <v>113427.2</v>
      </c>
      <c r="H110" s="13">
        <v>78099</v>
      </c>
      <c r="I110" s="13">
        <v>373832.85</v>
      </c>
      <c r="J110" s="13">
        <v>136680</v>
      </c>
      <c r="K110" s="13">
        <v>130178.6</v>
      </c>
      <c r="L110" s="13">
        <v>1138534.74</v>
      </c>
      <c r="M110" s="13">
        <v>17428.8</v>
      </c>
      <c r="N110" s="13">
        <v>21600</v>
      </c>
      <c r="O110" s="13">
        <v>105774.25</v>
      </c>
      <c r="P110" s="13">
        <v>24970</v>
      </c>
      <c r="Q110" s="13">
        <v>10140</v>
      </c>
      <c r="R110" s="13">
        <v>28680</v>
      </c>
      <c r="S110" s="13">
        <v>14800</v>
      </c>
      <c r="T110" s="13">
        <v>58165.48</v>
      </c>
      <c r="U110" s="13">
        <v>0</v>
      </c>
      <c r="V110" s="13">
        <v>20375</v>
      </c>
      <c r="W110" s="13">
        <v>140488.04999999999</v>
      </c>
      <c r="X110" s="13">
        <v>1410</v>
      </c>
      <c r="Y110" s="13">
        <v>42265</v>
      </c>
      <c r="Z110" s="13">
        <v>268889</v>
      </c>
      <c r="AA110" s="13">
        <v>25870</v>
      </c>
      <c r="AB110" s="13">
        <v>49639.55</v>
      </c>
      <c r="AC110" s="13">
        <v>78045.7</v>
      </c>
      <c r="AD110" s="13">
        <v>1661</v>
      </c>
      <c r="AE110" s="13">
        <v>78894.100000000006</v>
      </c>
      <c r="AF110" s="13">
        <v>88679.35</v>
      </c>
      <c r="AG110" s="13">
        <v>36849.800000000003</v>
      </c>
      <c r="AH110" s="13">
        <v>548.08000000000004</v>
      </c>
      <c r="AI110" s="13">
        <v>25580</v>
      </c>
      <c r="AJ110" s="13">
        <v>0</v>
      </c>
      <c r="AK110" s="13">
        <v>137178.45000000001</v>
      </c>
      <c r="AL110" s="13">
        <v>67045.350000000006</v>
      </c>
      <c r="AM110" s="13">
        <v>8548.4</v>
      </c>
      <c r="AN110" s="13">
        <v>211748.73</v>
      </c>
      <c r="AO110" s="13">
        <v>25423.5</v>
      </c>
      <c r="AP110" s="13">
        <v>16068.55</v>
      </c>
      <c r="AQ110" s="13">
        <v>415913.9</v>
      </c>
      <c r="AR110" s="13">
        <v>20122.400000000001</v>
      </c>
      <c r="AS110" s="13">
        <v>69256.95</v>
      </c>
      <c r="AT110" s="13">
        <v>29207.8</v>
      </c>
      <c r="AU110" s="13">
        <v>0</v>
      </c>
      <c r="AV110" s="13">
        <v>25353.55</v>
      </c>
      <c r="AW110" s="13">
        <v>6759.95</v>
      </c>
      <c r="AX110" s="13">
        <v>39581.800000000003</v>
      </c>
      <c r="AY110" s="13">
        <v>62597.8</v>
      </c>
      <c r="AZ110" s="13">
        <v>33449.699999999997</v>
      </c>
      <c r="BA110" s="13">
        <v>95569.55</v>
      </c>
      <c r="BB110" s="13">
        <v>316883.3</v>
      </c>
      <c r="BC110" s="13">
        <v>43283.87</v>
      </c>
      <c r="BD110" s="13">
        <f t="shared" si="44"/>
        <v>4781530.5999999996</v>
      </c>
      <c r="BE110" s="13">
        <f t="shared" si="45"/>
        <v>2459205.4700000002</v>
      </c>
      <c r="BF110" s="13">
        <f t="shared" si="46"/>
        <v>698331.58</v>
      </c>
      <c r="BG110" s="13">
        <f t="shared" si="47"/>
        <v>1623993.5500000003</v>
      </c>
    </row>
    <row r="111" spans="2:59" x14ac:dyDescent="0.2">
      <c r="C111" s="8">
        <v>444</v>
      </c>
      <c r="D111" s="8" t="s">
        <v>102</v>
      </c>
      <c r="E111" s="13">
        <v>0</v>
      </c>
      <c r="F111" s="13">
        <v>0</v>
      </c>
      <c r="G111" s="13">
        <v>224370.76</v>
      </c>
      <c r="H111" s="13">
        <v>0</v>
      </c>
      <c r="I111" s="13">
        <v>50600</v>
      </c>
      <c r="J111" s="13">
        <v>0</v>
      </c>
      <c r="K111" s="13">
        <v>0</v>
      </c>
      <c r="L111" s="13">
        <v>1925593.4</v>
      </c>
      <c r="M111" s="13">
        <v>0</v>
      </c>
      <c r="N111" s="13">
        <v>0</v>
      </c>
      <c r="O111" s="13">
        <v>18400</v>
      </c>
      <c r="P111" s="13">
        <v>0</v>
      </c>
      <c r="Q111" s="13">
        <v>0</v>
      </c>
      <c r="R111" s="13">
        <v>205200</v>
      </c>
      <c r="S111" s="13">
        <v>72100</v>
      </c>
      <c r="T111" s="13">
        <v>737.8</v>
      </c>
      <c r="U111" s="13">
        <v>22550</v>
      </c>
      <c r="V111" s="13">
        <v>0</v>
      </c>
      <c r="W111" s="13">
        <v>-200</v>
      </c>
      <c r="X111" s="13">
        <v>0</v>
      </c>
      <c r="Y111" s="13">
        <v>0</v>
      </c>
      <c r="Z111" s="13">
        <v>0</v>
      </c>
      <c r="AA111" s="13">
        <v>9128</v>
      </c>
      <c r="AB111" s="13">
        <v>9200</v>
      </c>
      <c r="AC111" s="13">
        <v>0</v>
      </c>
      <c r="AD111" s="13">
        <v>325</v>
      </c>
      <c r="AE111" s="13">
        <v>0</v>
      </c>
      <c r="AF111" s="13">
        <v>73600</v>
      </c>
      <c r="AG111" s="13">
        <v>22925</v>
      </c>
      <c r="AH111" s="13">
        <v>1150</v>
      </c>
      <c r="AI111" s="13">
        <v>0</v>
      </c>
      <c r="AJ111" s="13">
        <v>0</v>
      </c>
      <c r="AK111" s="13">
        <v>737529.2</v>
      </c>
      <c r="AL111" s="13">
        <v>0</v>
      </c>
      <c r="AM111" s="13">
        <v>0</v>
      </c>
      <c r="AN111" s="13">
        <v>0</v>
      </c>
      <c r="AO111" s="13">
        <v>0</v>
      </c>
      <c r="AP111" s="13">
        <v>0</v>
      </c>
      <c r="AQ111" s="13">
        <v>0</v>
      </c>
      <c r="AR111" s="13">
        <v>120825</v>
      </c>
      <c r="AS111" s="13">
        <v>0</v>
      </c>
      <c r="AT111" s="13">
        <v>0</v>
      </c>
      <c r="AU111" s="13">
        <v>0</v>
      </c>
      <c r="AV111" s="13">
        <v>4400</v>
      </c>
      <c r="AW111" s="13">
        <v>0</v>
      </c>
      <c r="AX111" s="13">
        <v>0</v>
      </c>
      <c r="AY111" s="13">
        <v>23000</v>
      </c>
      <c r="AZ111" s="13">
        <v>40</v>
      </c>
      <c r="BA111" s="13">
        <v>9200</v>
      </c>
      <c r="BB111" s="13">
        <v>307875</v>
      </c>
      <c r="BC111" s="13">
        <v>0</v>
      </c>
      <c r="BD111" s="13">
        <f t="shared" si="44"/>
        <v>3838549.16</v>
      </c>
      <c r="BE111" s="13">
        <f t="shared" si="45"/>
        <v>2519351.96</v>
      </c>
      <c r="BF111" s="13">
        <f t="shared" si="46"/>
        <v>116328</v>
      </c>
      <c r="BG111" s="13">
        <f t="shared" si="47"/>
        <v>1202869.2</v>
      </c>
    </row>
    <row r="112" spans="2:59" x14ac:dyDescent="0.2">
      <c r="C112" s="8">
        <v>445</v>
      </c>
      <c r="D112" s="8" t="s">
        <v>163</v>
      </c>
      <c r="E112" s="13">
        <v>0</v>
      </c>
      <c r="F112" s="13">
        <v>0</v>
      </c>
      <c r="G112" s="13">
        <v>0</v>
      </c>
      <c r="H112" s="13">
        <v>0</v>
      </c>
      <c r="I112" s="13">
        <v>0</v>
      </c>
      <c r="J112" s="13">
        <v>0</v>
      </c>
      <c r="K112" s="13">
        <v>0</v>
      </c>
      <c r="L112" s="13">
        <v>149987</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f t="shared" si="44"/>
        <v>149987</v>
      </c>
      <c r="BE112" s="13">
        <f t="shared" si="45"/>
        <v>149987</v>
      </c>
      <c r="BF112" s="13">
        <f t="shared" si="46"/>
        <v>0</v>
      </c>
      <c r="BG112" s="13">
        <f t="shared" si="47"/>
        <v>0</v>
      </c>
    </row>
    <row r="113" spans="2:5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f t="shared" si="44"/>
        <v>0</v>
      </c>
      <c r="BE113" s="13">
        <f t="shared" si="45"/>
        <v>0</v>
      </c>
      <c r="BF113" s="13">
        <f t="shared" si="46"/>
        <v>0</v>
      </c>
      <c r="BG113" s="13">
        <f t="shared" si="47"/>
        <v>0</v>
      </c>
    </row>
    <row r="114" spans="2:59" x14ac:dyDescent="0.2">
      <c r="C114" s="8">
        <v>447</v>
      </c>
      <c r="D114" s="8" t="s">
        <v>165</v>
      </c>
      <c r="E114" s="13">
        <v>985.8</v>
      </c>
      <c r="F114" s="13">
        <v>5475</v>
      </c>
      <c r="G114" s="13">
        <v>3210</v>
      </c>
      <c r="H114" s="13">
        <v>50795</v>
      </c>
      <c r="I114" s="13">
        <v>74911.360000000001</v>
      </c>
      <c r="J114" s="13">
        <v>88657.8</v>
      </c>
      <c r="K114" s="13">
        <v>113818</v>
      </c>
      <c r="L114" s="13">
        <v>1640148.25</v>
      </c>
      <c r="M114" s="13">
        <v>22262.5</v>
      </c>
      <c r="N114" s="13">
        <v>0</v>
      </c>
      <c r="O114" s="13">
        <v>357717.6</v>
      </c>
      <c r="P114" s="13">
        <v>42980</v>
      </c>
      <c r="Q114" s="13">
        <v>5659</v>
      </c>
      <c r="R114" s="13">
        <v>1687.1</v>
      </c>
      <c r="S114" s="13">
        <v>5025</v>
      </c>
      <c r="T114" s="13">
        <v>6020</v>
      </c>
      <c r="U114" s="13">
        <v>17120</v>
      </c>
      <c r="V114" s="13">
        <v>40792.199999999997</v>
      </c>
      <c r="W114" s="13">
        <v>224854.9</v>
      </c>
      <c r="X114" s="13">
        <v>59758</v>
      </c>
      <c r="Y114" s="13">
        <v>24724</v>
      </c>
      <c r="Z114" s="13">
        <v>36214.550000000003</v>
      </c>
      <c r="AA114" s="13">
        <v>0</v>
      </c>
      <c r="AB114" s="13">
        <v>39329.4</v>
      </c>
      <c r="AC114" s="13">
        <v>71508</v>
      </c>
      <c r="AD114" s="13">
        <v>16160</v>
      </c>
      <c r="AE114" s="13">
        <v>110402.4</v>
      </c>
      <c r="AF114" s="13">
        <v>100483.6</v>
      </c>
      <c r="AG114" s="13">
        <v>219785.3</v>
      </c>
      <c r="AH114" s="13">
        <v>27674.799999999999</v>
      </c>
      <c r="AI114" s="13">
        <v>120</v>
      </c>
      <c r="AJ114" s="13">
        <v>122566.31</v>
      </c>
      <c r="AK114" s="13">
        <v>247104.1</v>
      </c>
      <c r="AL114" s="13">
        <v>56617</v>
      </c>
      <c r="AM114" s="13">
        <v>11465.7</v>
      </c>
      <c r="AN114" s="13">
        <v>43406.45</v>
      </c>
      <c r="AO114" s="13">
        <v>69536.05</v>
      </c>
      <c r="AP114" s="13">
        <v>117028.8</v>
      </c>
      <c r="AQ114" s="13">
        <v>178118.81</v>
      </c>
      <c r="AR114" s="13">
        <v>40029.599999999999</v>
      </c>
      <c r="AS114" s="13">
        <v>65828.05</v>
      </c>
      <c r="AT114" s="13">
        <v>12180</v>
      </c>
      <c r="AU114" s="13">
        <v>85542.45</v>
      </c>
      <c r="AV114" s="13">
        <v>13170</v>
      </c>
      <c r="AW114" s="13">
        <v>18853.349999999999</v>
      </c>
      <c r="AX114" s="13">
        <v>22161.200000000001</v>
      </c>
      <c r="AY114" s="13">
        <v>31805</v>
      </c>
      <c r="AZ114" s="13">
        <v>1785</v>
      </c>
      <c r="BA114" s="13">
        <v>182020.65</v>
      </c>
      <c r="BB114" s="13">
        <v>1036211.58</v>
      </c>
      <c r="BC114" s="13">
        <v>17257.5</v>
      </c>
      <c r="BD114" s="13">
        <f t="shared" si="44"/>
        <v>5780967.1599999992</v>
      </c>
      <c r="BE114" s="13">
        <f t="shared" si="45"/>
        <v>2702119.5100000002</v>
      </c>
      <c r="BF114" s="13">
        <f t="shared" si="46"/>
        <v>706160.05</v>
      </c>
      <c r="BG114" s="13">
        <f t="shared" si="47"/>
        <v>2372687.6</v>
      </c>
    </row>
    <row r="115" spans="2:5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f t="shared" si="44"/>
        <v>150</v>
      </c>
      <c r="BE115" s="13">
        <f t="shared" si="45"/>
        <v>0</v>
      </c>
      <c r="BF115" s="13">
        <f t="shared" si="46"/>
        <v>150</v>
      </c>
      <c r="BG115" s="13">
        <f t="shared" si="47"/>
        <v>0</v>
      </c>
    </row>
    <row r="116" spans="2:59" x14ac:dyDescent="0.2">
      <c r="C116" s="8">
        <v>449</v>
      </c>
      <c r="D116" s="8" t="s">
        <v>167</v>
      </c>
      <c r="E116" s="13">
        <v>0</v>
      </c>
      <c r="F116" s="13">
        <v>0</v>
      </c>
      <c r="G116" s="13">
        <v>0</v>
      </c>
      <c r="H116" s="13">
        <v>0</v>
      </c>
      <c r="I116" s="13">
        <v>0</v>
      </c>
      <c r="J116" s="13">
        <v>0</v>
      </c>
      <c r="K116" s="13">
        <v>0</v>
      </c>
      <c r="L116" s="13">
        <v>0</v>
      </c>
      <c r="M116" s="13">
        <v>0</v>
      </c>
      <c r="N116" s="13">
        <v>0</v>
      </c>
      <c r="O116" s="13">
        <v>1566.5</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31.87</v>
      </c>
      <c r="AG116" s="13">
        <v>0</v>
      </c>
      <c r="AH116" s="13">
        <v>0</v>
      </c>
      <c r="AI116" s="13">
        <v>6920</v>
      </c>
      <c r="AJ116" s="13">
        <v>0</v>
      </c>
      <c r="AK116" s="13">
        <v>900</v>
      </c>
      <c r="AL116" s="13">
        <v>0</v>
      </c>
      <c r="AM116" s="13">
        <v>0</v>
      </c>
      <c r="AN116" s="13">
        <v>0</v>
      </c>
      <c r="AO116" s="13">
        <v>0</v>
      </c>
      <c r="AP116" s="13">
        <v>12950</v>
      </c>
      <c r="AQ116" s="13">
        <v>0</v>
      </c>
      <c r="AR116" s="13">
        <v>0</v>
      </c>
      <c r="AS116" s="13">
        <v>0</v>
      </c>
      <c r="AT116" s="13">
        <v>0</v>
      </c>
      <c r="AU116" s="13">
        <v>1718.59</v>
      </c>
      <c r="AV116" s="13">
        <v>0</v>
      </c>
      <c r="AW116" s="13">
        <v>0</v>
      </c>
      <c r="AX116" s="13">
        <v>0</v>
      </c>
      <c r="AY116" s="13">
        <v>0</v>
      </c>
      <c r="AZ116" s="13">
        <v>0</v>
      </c>
      <c r="BA116" s="13">
        <v>0</v>
      </c>
      <c r="BB116" s="13">
        <v>0</v>
      </c>
      <c r="BC116" s="13">
        <v>0</v>
      </c>
      <c r="BD116" s="13">
        <f t="shared" si="44"/>
        <v>24086.959999999999</v>
      </c>
      <c r="BE116" s="13">
        <f t="shared" si="45"/>
        <v>1566.5</v>
      </c>
      <c r="BF116" s="13">
        <f t="shared" si="46"/>
        <v>6951.87</v>
      </c>
      <c r="BG116" s="13">
        <f t="shared" si="47"/>
        <v>15568.59</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12959.55</v>
      </c>
      <c r="F118" s="78">
        <f t="shared" ref="F118:BG118" si="48">F119+F120</f>
        <v>0</v>
      </c>
      <c r="G118" s="78">
        <f t="shared" si="48"/>
        <v>12408.2</v>
      </c>
      <c r="H118" s="78">
        <f t="shared" si="48"/>
        <v>40836.5</v>
      </c>
      <c r="I118" s="78">
        <f t="shared" si="48"/>
        <v>184415.3</v>
      </c>
      <c r="J118" s="78">
        <f t="shared" si="48"/>
        <v>87595.03</v>
      </c>
      <c r="K118" s="78">
        <f t="shared" si="48"/>
        <v>71539.899999999994</v>
      </c>
      <c r="L118" s="78">
        <f t="shared" si="48"/>
        <v>316084.8</v>
      </c>
      <c r="M118" s="78">
        <f t="shared" si="48"/>
        <v>284011.98000000004</v>
      </c>
      <c r="N118" s="78">
        <f t="shared" si="48"/>
        <v>0</v>
      </c>
      <c r="O118" s="78">
        <f t="shared" si="48"/>
        <v>348996.55</v>
      </c>
      <c r="P118" s="78">
        <f t="shared" si="48"/>
        <v>0</v>
      </c>
      <c r="Q118" s="78">
        <f t="shared" si="48"/>
        <v>2509.4</v>
      </c>
      <c r="R118" s="78">
        <f t="shared" si="48"/>
        <v>9182.09</v>
      </c>
      <c r="S118" s="78">
        <f t="shared" si="48"/>
        <v>41726.49</v>
      </c>
      <c r="T118" s="78">
        <f t="shared" si="48"/>
        <v>31579.35</v>
      </c>
      <c r="U118" s="78">
        <f t="shared" si="48"/>
        <v>684</v>
      </c>
      <c r="V118" s="78">
        <f t="shared" si="48"/>
        <v>0</v>
      </c>
      <c r="W118" s="78">
        <f t="shared" si="48"/>
        <v>8327.75</v>
      </c>
      <c r="X118" s="78">
        <f t="shared" si="48"/>
        <v>0</v>
      </c>
      <c r="Y118" s="78">
        <f t="shared" si="48"/>
        <v>6179.2</v>
      </c>
      <c r="Z118" s="78">
        <f t="shared" si="48"/>
        <v>13096.9</v>
      </c>
      <c r="AA118" s="78">
        <f t="shared" si="48"/>
        <v>398.7</v>
      </c>
      <c r="AB118" s="78">
        <f t="shared" si="48"/>
        <v>1284.8499999999999</v>
      </c>
      <c r="AC118" s="78">
        <f t="shared" si="48"/>
        <v>46371.15</v>
      </c>
      <c r="AD118" s="78">
        <f t="shared" si="48"/>
        <v>1378.25</v>
      </c>
      <c r="AE118" s="78">
        <f t="shared" si="48"/>
        <v>45822.15</v>
      </c>
      <c r="AF118" s="78">
        <f t="shared" si="48"/>
        <v>126132.09999999999</v>
      </c>
      <c r="AG118" s="78">
        <f t="shared" si="48"/>
        <v>6496.9</v>
      </c>
      <c r="AH118" s="78">
        <f t="shared" si="48"/>
        <v>16545.91</v>
      </c>
      <c r="AI118" s="78">
        <f t="shared" si="48"/>
        <v>0</v>
      </c>
      <c r="AJ118" s="78">
        <f t="shared" si="48"/>
        <v>0</v>
      </c>
      <c r="AK118" s="78">
        <f t="shared" si="48"/>
        <v>13097.88</v>
      </c>
      <c r="AL118" s="78">
        <f t="shared" si="48"/>
        <v>0</v>
      </c>
      <c r="AM118" s="78">
        <f t="shared" si="48"/>
        <v>296.2</v>
      </c>
      <c r="AN118" s="78">
        <f t="shared" si="48"/>
        <v>8161.2</v>
      </c>
      <c r="AO118" s="78">
        <f t="shared" si="48"/>
        <v>8677.7000000000007</v>
      </c>
      <c r="AP118" s="78">
        <f t="shared" si="48"/>
        <v>0</v>
      </c>
      <c r="AQ118" s="78">
        <f t="shared" si="48"/>
        <v>103706.15</v>
      </c>
      <c r="AR118" s="78">
        <f t="shared" si="48"/>
        <v>58981.45</v>
      </c>
      <c r="AS118" s="78">
        <f t="shared" si="48"/>
        <v>41223.299999999996</v>
      </c>
      <c r="AT118" s="78">
        <f t="shared" si="48"/>
        <v>897.75</v>
      </c>
      <c r="AU118" s="78">
        <f t="shared" si="48"/>
        <v>223847.56999999998</v>
      </c>
      <c r="AV118" s="78">
        <f t="shared" si="48"/>
        <v>2013.8</v>
      </c>
      <c r="AW118" s="78">
        <f t="shared" si="48"/>
        <v>97720.65</v>
      </c>
      <c r="AX118" s="78">
        <f t="shared" si="48"/>
        <v>839.75</v>
      </c>
      <c r="AY118" s="78">
        <f t="shared" si="48"/>
        <v>4225.2</v>
      </c>
      <c r="AZ118" s="78">
        <f t="shared" si="48"/>
        <v>86277.54</v>
      </c>
      <c r="BA118" s="78">
        <f t="shared" si="48"/>
        <v>105653.5</v>
      </c>
      <c r="BB118" s="78">
        <f t="shared" si="48"/>
        <v>232911.72</v>
      </c>
      <c r="BC118" s="78">
        <f t="shared" si="48"/>
        <v>120</v>
      </c>
      <c r="BD118" s="78">
        <f t="shared" si="48"/>
        <v>2705214.36</v>
      </c>
      <c r="BE118" s="78">
        <f t="shared" si="48"/>
        <v>1452856.8900000001</v>
      </c>
      <c r="BF118" s="78">
        <f t="shared" si="48"/>
        <v>263706.11</v>
      </c>
      <c r="BG118" s="78">
        <f t="shared" si="48"/>
        <v>988651.35999999987</v>
      </c>
    </row>
    <row r="119" spans="2:59" x14ac:dyDescent="0.2">
      <c r="C119" s="8">
        <v>450</v>
      </c>
      <c r="D119" s="8" t="s">
        <v>168</v>
      </c>
      <c r="E119" s="13">
        <v>5409.5</v>
      </c>
      <c r="F119" s="13">
        <v>0</v>
      </c>
      <c r="G119" s="13">
        <v>1193.3499999999999</v>
      </c>
      <c r="H119" s="13">
        <v>0</v>
      </c>
      <c r="I119" s="13">
        <v>9177.7999999999993</v>
      </c>
      <c r="J119" s="13">
        <v>11000.3</v>
      </c>
      <c r="K119" s="13">
        <v>44292.25</v>
      </c>
      <c r="L119" s="13">
        <v>316084.8</v>
      </c>
      <c r="M119" s="13">
        <v>3438.45</v>
      </c>
      <c r="N119" s="13">
        <v>0</v>
      </c>
      <c r="O119" s="13">
        <v>18445.45</v>
      </c>
      <c r="P119" s="13">
        <v>0</v>
      </c>
      <c r="Q119" s="13">
        <v>0</v>
      </c>
      <c r="R119" s="13">
        <v>1077.8499999999999</v>
      </c>
      <c r="S119" s="13">
        <v>887.95</v>
      </c>
      <c r="T119" s="13">
        <v>1860.5</v>
      </c>
      <c r="U119" s="13">
        <v>684</v>
      </c>
      <c r="V119" s="13">
        <v>0</v>
      </c>
      <c r="W119" s="13">
        <v>8327.75</v>
      </c>
      <c r="X119" s="13">
        <v>0</v>
      </c>
      <c r="Y119" s="13">
        <v>6179.2</v>
      </c>
      <c r="Z119" s="13">
        <v>4082.75</v>
      </c>
      <c r="AA119" s="13">
        <v>398.7</v>
      </c>
      <c r="AB119" s="13">
        <v>1284.8499999999999</v>
      </c>
      <c r="AC119" s="13">
        <v>0</v>
      </c>
      <c r="AD119" s="13">
        <v>1378.25</v>
      </c>
      <c r="AE119" s="13">
        <v>1287.1500000000001</v>
      </c>
      <c r="AF119" s="13">
        <v>4806.8999999999996</v>
      </c>
      <c r="AG119" s="13">
        <v>6496.9</v>
      </c>
      <c r="AH119" s="13">
        <v>580.04999999999995</v>
      </c>
      <c r="AI119" s="13">
        <v>0</v>
      </c>
      <c r="AJ119" s="13">
        <v>0</v>
      </c>
      <c r="AK119" s="13">
        <v>0</v>
      </c>
      <c r="AL119" s="13">
        <v>0</v>
      </c>
      <c r="AM119" s="13">
        <v>296.2</v>
      </c>
      <c r="AN119" s="13">
        <v>8161.2</v>
      </c>
      <c r="AO119" s="13">
        <v>0</v>
      </c>
      <c r="AP119" s="13">
        <v>0</v>
      </c>
      <c r="AQ119" s="13">
        <v>3206.15</v>
      </c>
      <c r="AR119" s="13">
        <v>0</v>
      </c>
      <c r="AS119" s="13">
        <v>39769.35</v>
      </c>
      <c r="AT119" s="13">
        <v>736.65</v>
      </c>
      <c r="AU119" s="13">
        <v>1663.02</v>
      </c>
      <c r="AV119" s="13">
        <v>2013.8</v>
      </c>
      <c r="AW119" s="13">
        <v>985.2</v>
      </c>
      <c r="AX119" s="13">
        <v>839.75</v>
      </c>
      <c r="AY119" s="13">
        <v>4225.2</v>
      </c>
      <c r="AZ119" s="13">
        <v>0</v>
      </c>
      <c r="BA119" s="13">
        <v>2653.5</v>
      </c>
      <c r="BB119" s="13">
        <v>17036.650000000001</v>
      </c>
      <c r="BC119" s="13">
        <v>0</v>
      </c>
      <c r="BD119" s="13">
        <f>SUM(E119:BC119)</f>
        <v>529961.37000000011</v>
      </c>
      <c r="BE119" s="13">
        <f>SUM(E119:W119)</f>
        <v>421879.95</v>
      </c>
      <c r="BF119" s="13">
        <f>SUM(X119:AI119)</f>
        <v>26494.750000000004</v>
      </c>
      <c r="BG119" s="13">
        <f>SUM(AJ119:BC119)</f>
        <v>81586.669999999984</v>
      </c>
    </row>
    <row r="120" spans="2:59" x14ac:dyDescent="0.2">
      <c r="C120" s="8">
        <v>451</v>
      </c>
      <c r="D120" s="8" t="s">
        <v>169</v>
      </c>
      <c r="E120" s="13">
        <v>7550.05</v>
      </c>
      <c r="F120" s="13">
        <v>0</v>
      </c>
      <c r="G120" s="13">
        <v>11214.85</v>
      </c>
      <c r="H120" s="13">
        <v>40836.5</v>
      </c>
      <c r="I120" s="13">
        <v>175237.5</v>
      </c>
      <c r="J120" s="13">
        <v>76594.73</v>
      </c>
      <c r="K120" s="13">
        <v>27247.65</v>
      </c>
      <c r="L120" s="13">
        <v>0</v>
      </c>
      <c r="M120" s="13">
        <v>280573.53000000003</v>
      </c>
      <c r="N120" s="13">
        <v>0</v>
      </c>
      <c r="O120" s="13">
        <v>330551.09999999998</v>
      </c>
      <c r="P120" s="13">
        <v>0</v>
      </c>
      <c r="Q120" s="13">
        <v>2509.4</v>
      </c>
      <c r="R120" s="13">
        <v>8104.24</v>
      </c>
      <c r="S120" s="13">
        <v>40838.54</v>
      </c>
      <c r="T120" s="13">
        <v>29718.85</v>
      </c>
      <c r="U120" s="13">
        <v>0</v>
      </c>
      <c r="V120" s="13">
        <v>0</v>
      </c>
      <c r="W120" s="13">
        <v>0</v>
      </c>
      <c r="X120" s="13">
        <v>0</v>
      </c>
      <c r="Y120" s="13">
        <v>0</v>
      </c>
      <c r="Z120" s="13">
        <v>9014.15</v>
      </c>
      <c r="AA120" s="13">
        <v>0</v>
      </c>
      <c r="AB120" s="13">
        <v>0</v>
      </c>
      <c r="AC120" s="13">
        <v>46371.15</v>
      </c>
      <c r="AD120" s="13">
        <v>0</v>
      </c>
      <c r="AE120" s="13">
        <v>44535</v>
      </c>
      <c r="AF120" s="13">
        <v>121325.2</v>
      </c>
      <c r="AG120" s="13">
        <v>0</v>
      </c>
      <c r="AH120" s="13">
        <v>15965.86</v>
      </c>
      <c r="AI120" s="13">
        <v>0</v>
      </c>
      <c r="AJ120" s="13">
        <v>0</v>
      </c>
      <c r="AK120" s="13">
        <v>13097.88</v>
      </c>
      <c r="AL120" s="13">
        <v>0</v>
      </c>
      <c r="AM120" s="13">
        <v>0</v>
      </c>
      <c r="AN120" s="13">
        <v>0</v>
      </c>
      <c r="AO120" s="13">
        <v>8677.7000000000007</v>
      </c>
      <c r="AP120" s="13">
        <v>0</v>
      </c>
      <c r="AQ120" s="13">
        <v>100500</v>
      </c>
      <c r="AR120" s="13">
        <v>58981.45</v>
      </c>
      <c r="AS120" s="13">
        <v>1453.95</v>
      </c>
      <c r="AT120" s="13">
        <v>161.1</v>
      </c>
      <c r="AU120" s="13">
        <v>222184.55</v>
      </c>
      <c r="AV120" s="13">
        <v>0</v>
      </c>
      <c r="AW120" s="13">
        <v>96735.45</v>
      </c>
      <c r="AX120" s="13">
        <v>0</v>
      </c>
      <c r="AY120" s="13">
        <v>0</v>
      </c>
      <c r="AZ120" s="13">
        <v>86277.54</v>
      </c>
      <c r="BA120" s="13">
        <v>103000</v>
      </c>
      <c r="BB120" s="13">
        <v>215875.07</v>
      </c>
      <c r="BC120" s="13">
        <v>120</v>
      </c>
      <c r="BD120" s="13">
        <f>SUM(E120:BC120)</f>
        <v>2175252.9899999998</v>
      </c>
      <c r="BE120" s="13">
        <f>SUM(E120:W120)</f>
        <v>1030976.9400000001</v>
      </c>
      <c r="BF120" s="13">
        <f>SUM(X120:AI120)</f>
        <v>237211.36</v>
      </c>
      <c r="BG120" s="13">
        <f>SUM(AJ120:BC120)</f>
        <v>907064.69</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479157.6</v>
      </c>
      <c r="F122" s="78">
        <f t="shared" ref="F122:BG122" si="49">F123+F124+F125+F126+F127</f>
        <v>232221.6</v>
      </c>
      <c r="G122" s="78">
        <f t="shared" si="49"/>
        <v>137078.63</v>
      </c>
      <c r="H122" s="78">
        <f t="shared" si="49"/>
        <v>140949.98000000001</v>
      </c>
      <c r="I122" s="78">
        <f t="shared" si="49"/>
        <v>2119551.1999999997</v>
      </c>
      <c r="J122" s="78">
        <f t="shared" si="49"/>
        <v>1250036.3799999999</v>
      </c>
      <c r="K122" s="78">
        <f t="shared" si="49"/>
        <v>996390.29999999993</v>
      </c>
      <c r="L122" s="78">
        <f t="shared" si="49"/>
        <v>21449370.879999999</v>
      </c>
      <c r="M122" s="78">
        <f t="shared" si="49"/>
        <v>1104175.3999999999</v>
      </c>
      <c r="N122" s="78">
        <f t="shared" si="49"/>
        <v>160400.04999999999</v>
      </c>
      <c r="O122" s="78">
        <f t="shared" si="49"/>
        <v>2971292.84</v>
      </c>
      <c r="P122" s="78">
        <f t="shared" si="49"/>
        <v>340649.3</v>
      </c>
      <c r="Q122" s="78">
        <f t="shared" si="49"/>
        <v>53941.549999999996</v>
      </c>
      <c r="R122" s="78">
        <f t="shared" si="49"/>
        <v>182389.00000000003</v>
      </c>
      <c r="S122" s="78">
        <f t="shared" si="49"/>
        <v>164593.00000000003</v>
      </c>
      <c r="T122" s="78">
        <f t="shared" si="49"/>
        <v>73739.060000000012</v>
      </c>
      <c r="U122" s="78">
        <f t="shared" si="49"/>
        <v>217610.85</v>
      </c>
      <c r="V122" s="78">
        <f t="shared" si="49"/>
        <v>655530.22</v>
      </c>
      <c r="W122" s="78">
        <f t="shared" si="49"/>
        <v>1611817.7500000002</v>
      </c>
      <c r="X122" s="78">
        <f t="shared" si="49"/>
        <v>99561.25</v>
      </c>
      <c r="Y122" s="78">
        <f t="shared" si="49"/>
        <v>900983.26</v>
      </c>
      <c r="Z122" s="78">
        <f t="shared" si="49"/>
        <v>1955945.9500000002</v>
      </c>
      <c r="AA122" s="78">
        <f t="shared" si="49"/>
        <v>133239.85</v>
      </c>
      <c r="AB122" s="78">
        <f t="shared" si="49"/>
        <v>229116</v>
      </c>
      <c r="AC122" s="78">
        <f t="shared" si="49"/>
        <v>708810.59000000008</v>
      </c>
      <c r="AD122" s="78">
        <f t="shared" si="49"/>
        <v>331049.59999999998</v>
      </c>
      <c r="AE122" s="78">
        <f t="shared" si="49"/>
        <v>377180.08</v>
      </c>
      <c r="AF122" s="78">
        <f t="shared" si="49"/>
        <v>1019777.45</v>
      </c>
      <c r="AG122" s="78">
        <f t="shared" si="49"/>
        <v>1569638.3</v>
      </c>
      <c r="AH122" s="78">
        <f t="shared" si="49"/>
        <v>235834.17</v>
      </c>
      <c r="AI122" s="78">
        <f t="shared" si="49"/>
        <v>82546.48</v>
      </c>
      <c r="AJ122" s="78">
        <f t="shared" si="49"/>
        <v>821396.7</v>
      </c>
      <c r="AK122" s="78">
        <f t="shared" si="49"/>
        <v>839058.4</v>
      </c>
      <c r="AL122" s="78">
        <f t="shared" si="49"/>
        <v>1435240.72</v>
      </c>
      <c r="AM122" s="78">
        <f t="shared" si="49"/>
        <v>91354.45</v>
      </c>
      <c r="AN122" s="78">
        <f t="shared" si="49"/>
        <v>309149.36000000004</v>
      </c>
      <c r="AO122" s="78">
        <f t="shared" si="49"/>
        <v>1063966.51</v>
      </c>
      <c r="AP122" s="78">
        <f t="shared" si="49"/>
        <v>278340.82999999996</v>
      </c>
      <c r="AQ122" s="78">
        <f t="shared" si="49"/>
        <v>1685929.98</v>
      </c>
      <c r="AR122" s="78">
        <f t="shared" si="49"/>
        <v>312345</v>
      </c>
      <c r="AS122" s="78">
        <f t="shared" si="49"/>
        <v>748928.51</v>
      </c>
      <c r="AT122" s="78">
        <f t="shared" si="49"/>
        <v>318973.02</v>
      </c>
      <c r="AU122" s="78">
        <f t="shared" si="49"/>
        <v>1673852.22</v>
      </c>
      <c r="AV122" s="78">
        <f t="shared" si="49"/>
        <v>271981.64999999997</v>
      </c>
      <c r="AW122" s="78">
        <f t="shared" si="49"/>
        <v>629511.79999999993</v>
      </c>
      <c r="AX122" s="78">
        <f t="shared" si="49"/>
        <v>167395.65</v>
      </c>
      <c r="AY122" s="78">
        <f t="shared" si="49"/>
        <v>652722.79999999993</v>
      </c>
      <c r="AZ122" s="78">
        <f t="shared" si="49"/>
        <v>462491.42</v>
      </c>
      <c r="BA122" s="78">
        <f t="shared" si="49"/>
        <v>658347.07000000007</v>
      </c>
      <c r="BB122" s="78">
        <f t="shared" si="49"/>
        <v>8955037.1799999997</v>
      </c>
      <c r="BC122" s="78">
        <f t="shared" si="49"/>
        <v>400968.7</v>
      </c>
      <c r="BD122" s="78">
        <f t="shared" si="49"/>
        <v>63761570.539999992</v>
      </c>
      <c r="BE122" s="78">
        <f t="shared" si="49"/>
        <v>34340895.589999996</v>
      </c>
      <c r="BF122" s="78">
        <f t="shared" si="49"/>
        <v>7643682.9799999995</v>
      </c>
      <c r="BG122" s="78">
        <f t="shared" si="49"/>
        <v>21776991.969999999</v>
      </c>
    </row>
    <row r="123" spans="2:59" x14ac:dyDescent="0.2">
      <c r="C123" s="8">
        <v>460</v>
      </c>
      <c r="D123" s="8" t="s">
        <v>172</v>
      </c>
      <c r="E123" s="13">
        <v>8846</v>
      </c>
      <c r="F123" s="13">
        <v>4325</v>
      </c>
      <c r="G123" s="13">
        <v>591</v>
      </c>
      <c r="H123" s="13">
        <v>0</v>
      </c>
      <c r="I123" s="13">
        <v>29779</v>
      </c>
      <c r="J123" s="13">
        <v>75801</v>
      </c>
      <c r="K123" s="13">
        <v>53377</v>
      </c>
      <c r="L123" s="13">
        <v>482071</v>
      </c>
      <c r="M123" s="13">
        <v>40683</v>
      </c>
      <c r="N123" s="13">
        <v>323</v>
      </c>
      <c r="O123" s="13">
        <v>0</v>
      </c>
      <c r="P123" s="13">
        <v>0</v>
      </c>
      <c r="Q123" s="13">
        <v>1712.45</v>
      </c>
      <c r="R123" s="13">
        <v>0</v>
      </c>
      <c r="S123" s="13">
        <v>0</v>
      </c>
      <c r="T123" s="13">
        <v>2559</v>
      </c>
      <c r="U123" s="13">
        <v>0</v>
      </c>
      <c r="V123" s="13">
        <v>19811.650000000001</v>
      </c>
      <c r="W123" s="13">
        <v>74882.2</v>
      </c>
      <c r="X123" s="13">
        <v>293</v>
      </c>
      <c r="Y123" s="13">
        <v>7159</v>
      </c>
      <c r="Z123" s="13">
        <v>504453</v>
      </c>
      <c r="AA123" s="13">
        <v>419</v>
      </c>
      <c r="AB123" s="13">
        <v>2068.75</v>
      </c>
      <c r="AC123" s="13">
        <v>3734</v>
      </c>
      <c r="AD123" s="13">
        <v>1343</v>
      </c>
      <c r="AE123" s="13">
        <v>0</v>
      </c>
      <c r="AF123" s="13">
        <v>124302</v>
      </c>
      <c r="AG123" s="13">
        <v>35920</v>
      </c>
      <c r="AH123" s="13">
        <v>0</v>
      </c>
      <c r="AI123" s="13">
        <v>81</v>
      </c>
      <c r="AJ123" s="13">
        <v>1000</v>
      </c>
      <c r="AK123" s="13">
        <v>0</v>
      </c>
      <c r="AL123" s="13">
        <v>7125</v>
      </c>
      <c r="AM123" s="13">
        <v>0</v>
      </c>
      <c r="AN123" s="13">
        <v>213246</v>
      </c>
      <c r="AO123" s="13">
        <v>13852</v>
      </c>
      <c r="AP123" s="13">
        <v>4605</v>
      </c>
      <c r="AQ123" s="13">
        <v>0</v>
      </c>
      <c r="AR123" s="13">
        <v>0</v>
      </c>
      <c r="AS123" s="13">
        <v>3357</v>
      </c>
      <c r="AT123" s="13">
        <v>4879</v>
      </c>
      <c r="AU123" s="13">
        <v>44036</v>
      </c>
      <c r="AV123" s="13">
        <v>23145</v>
      </c>
      <c r="AW123" s="13">
        <v>0</v>
      </c>
      <c r="AX123" s="13">
        <v>1207</v>
      </c>
      <c r="AY123" s="13">
        <v>3233</v>
      </c>
      <c r="AZ123" s="13">
        <v>499</v>
      </c>
      <c r="BA123" s="13">
        <v>20839</v>
      </c>
      <c r="BB123" s="13">
        <v>185026</v>
      </c>
      <c r="BC123" s="13">
        <v>3349</v>
      </c>
      <c r="BD123" s="13">
        <f>SUM(E123:BC123)</f>
        <v>2003932.0499999998</v>
      </c>
      <c r="BE123" s="13">
        <f>SUM(E123:W123)</f>
        <v>794761.29999999993</v>
      </c>
      <c r="BF123" s="13">
        <f>SUM(X123:AI123)</f>
        <v>679772.75</v>
      </c>
      <c r="BG123" s="13">
        <f>SUM(AJ123:BC123)</f>
        <v>529398</v>
      </c>
    </row>
    <row r="124" spans="2:59" x14ac:dyDescent="0.2">
      <c r="C124" s="8">
        <v>461</v>
      </c>
      <c r="D124" s="8" t="s">
        <v>173</v>
      </c>
      <c r="E124" s="13">
        <v>346531.5</v>
      </c>
      <c r="F124" s="13">
        <v>7855.25</v>
      </c>
      <c r="G124" s="13">
        <v>28903.35</v>
      </c>
      <c r="H124" s="13">
        <v>2788.98</v>
      </c>
      <c r="I124" s="13">
        <v>669310.5</v>
      </c>
      <c r="J124" s="13">
        <v>637322.36</v>
      </c>
      <c r="K124" s="13">
        <v>776047.95</v>
      </c>
      <c r="L124" s="13">
        <v>10133796.1</v>
      </c>
      <c r="M124" s="13">
        <v>564009.75</v>
      </c>
      <c r="N124" s="13">
        <v>36185.4</v>
      </c>
      <c r="O124" s="13">
        <v>1056398.8500000001</v>
      </c>
      <c r="P124" s="13">
        <v>6057.95</v>
      </c>
      <c r="Q124" s="13">
        <v>440.55</v>
      </c>
      <c r="R124" s="13">
        <v>15167.45</v>
      </c>
      <c r="S124" s="13">
        <v>35137.949999999997</v>
      </c>
      <c r="T124" s="13">
        <v>40225.160000000003</v>
      </c>
      <c r="U124" s="13">
        <v>2034.35</v>
      </c>
      <c r="V124" s="13">
        <v>550126.87</v>
      </c>
      <c r="W124" s="13">
        <v>538458.4</v>
      </c>
      <c r="X124" s="13">
        <v>17208.55</v>
      </c>
      <c r="Y124" s="13">
        <v>822164.91</v>
      </c>
      <c r="Z124" s="13">
        <v>1019634.85</v>
      </c>
      <c r="AA124" s="13">
        <v>49705.85</v>
      </c>
      <c r="AB124" s="13">
        <v>77649.649999999994</v>
      </c>
      <c r="AC124" s="13">
        <v>461855.79</v>
      </c>
      <c r="AD124" s="13">
        <v>136261.29999999999</v>
      </c>
      <c r="AE124" s="13">
        <v>1495.33</v>
      </c>
      <c r="AF124" s="13">
        <v>607049.32999999996</v>
      </c>
      <c r="AG124" s="13">
        <v>534161.4</v>
      </c>
      <c r="AH124" s="13">
        <v>40247.32</v>
      </c>
      <c r="AI124" s="13">
        <v>14589.75</v>
      </c>
      <c r="AJ124" s="13">
        <v>693195.7</v>
      </c>
      <c r="AK124" s="13">
        <v>80678.149999999994</v>
      </c>
      <c r="AL124" s="13">
        <v>628819.67000000004</v>
      </c>
      <c r="AM124" s="13">
        <v>45542.400000000001</v>
      </c>
      <c r="AN124" s="13">
        <v>14765.16</v>
      </c>
      <c r="AO124" s="13">
        <v>992385.76</v>
      </c>
      <c r="AP124" s="13">
        <v>37838.800000000003</v>
      </c>
      <c r="AQ124" s="13">
        <v>1001345.2</v>
      </c>
      <c r="AR124" s="13">
        <v>54457</v>
      </c>
      <c r="AS124" s="13">
        <v>70229.009999999995</v>
      </c>
      <c r="AT124" s="13">
        <v>84034</v>
      </c>
      <c r="AU124" s="13">
        <v>1469601.77</v>
      </c>
      <c r="AV124" s="13">
        <v>145317.79999999999</v>
      </c>
      <c r="AW124" s="13">
        <v>3713.2</v>
      </c>
      <c r="AX124" s="13">
        <v>8750</v>
      </c>
      <c r="AY124" s="13">
        <v>301768.34999999998</v>
      </c>
      <c r="AZ124" s="13">
        <v>216195.4</v>
      </c>
      <c r="BA124" s="13">
        <v>566716.77</v>
      </c>
      <c r="BB124" s="13">
        <v>7339727.4500000002</v>
      </c>
      <c r="BC124" s="13">
        <v>145891.35</v>
      </c>
      <c r="BD124" s="13">
        <f>SUM(E124:BC124)</f>
        <v>33129795.639999993</v>
      </c>
      <c r="BE124" s="13">
        <f>SUM(E124:W124)</f>
        <v>15446798.669999996</v>
      </c>
      <c r="BF124" s="13">
        <f>SUM(X124:AI124)</f>
        <v>3782024.03</v>
      </c>
      <c r="BG124" s="13">
        <f>SUM(AJ124:BC124)</f>
        <v>13900972.939999999</v>
      </c>
    </row>
    <row r="125" spans="2:59" x14ac:dyDescent="0.2">
      <c r="C125" s="8">
        <v>462</v>
      </c>
      <c r="D125" s="8" t="s">
        <v>109</v>
      </c>
      <c r="E125" s="13">
        <v>21092</v>
      </c>
      <c r="F125" s="13">
        <v>159548</v>
      </c>
      <c r="G125" s="13">
        <v>73018</v>
      </c>
      <c r="H125" s="13">
        <v>135724</v>
      </c>
      <c r="I125" s="13">
        <v>1230396</v>
      </c>
      <c r="J125" s="13">
        <v>204796</v>
      </c>
      <c r="K125" s="13">
        <v>0</v>
      </c>
      <c r="L125" s="13">
        <v>1018740.6</v>
      </c>
      <c r="M125" s="13">
        <v>0</v>
      </c>
      <c r="N125" s="13">
        <v>113452</v>
      </c>
      <c r="O125" s="13">
        <v>1228561</v>
      </c>
      <c r="P125" s="13">
        <v>304210</v>
      </c>
      <c r="Q125" s="13">
        <v>46172</v>
      </c>
      <c r="R125" s="13">
        <v>141958</v>
      </c>
      <c r="S125" s="13">
        <v>106306</v>
      </c>
      <c r="T125" s="13">
        <v>0</v>
      </c>
      <c r="U125" s="13">
        <v>193894</v>
      </c>
      <c r="V125" s="13">
        <v>10142</v>
      </c>
      <c r="W125" s="13">
        <v>720672</v>
      </c>
      <c r="X125" s="13">
        <v>16754</v>
      </c>
      <c r="Y125" s="13">
        <v>0</v>
      </c>
      <c r="Z125" s="13">
        <v>29266</v>
      </c>
      <c r="AA125" s="13">
        <v>58576</v>
      </c>
      <c r="AB125" s="13">
        <v>10638</v>
      </c>
      <c r="AC125" s="13">
        <v>161112</v>
      </c>
      <c r="AD125" s="13">
        <v>83696</v>
      </c>
      <c r="AE125" s="13">
        <v>0</v>
      </c>
      <c r="AF125" s="13">
        <v>0</v>
      </c>
      <c r="AG125" s="13">
        <v>242574</v>
      </c>
      <c r="AH125" s="13">
        <v>170886</v>
      </c>
      <c r="AI125" s="13">
        <v>49222</v>
      </c>
      <c r="AJ125" s="13">
        <v>0</v>
      </c>
      <c r="AK125" s="13">
        <v>482454</v>
      </c>
      <c r="AL125" s="13">
        <v>578520</v>
      </c>
      <c r="AM125" s="13">
        <v>21898</v>
      </c>
      <c r="AN125" s="13">
        <v>0</v>
      </c>
      <c r="AO125" s="13">
        <v>0</v>
      </c>
      <c r="AP125" s="13">
        <v>111253</v>
      </c>
      <c r="AQ125" s="13">
        <v>480598</v>
      </c>
      <c r="AR125" s="13">
        <v>169196</v>
      </c>
      <c r="AS125" s="13">
        <v>194010</v>
      </c>
      <c r="AT125" s="13">
        <v>200148</v>
      </c>
      <c r="AU125" s="13">
        <v>0</v>
      </c>
      <c r="AV125" s="13">
        <v>0</v>
      </c>
      <c r="AW125" s="13">
        <v>578925</v>
      </c>
      <c r="AX125" s="13">
        <v>118932</v>
      </c>
      <c r="AY125" s="13">
        <v>192929</v>
      </c>
      <c r="AZ125" s="13">
        <v>176566</v>
      </c>
      <c r="BA125" s="13">
        <v>0</v>
      </c>
      <c r="BB125" s="13">
        <v>424122.15</v>
      </c>
      <c r="BC125" s="13">
        <v>160226</v>
      </c>
      <c r="BD125" s="13">
        <f>SUM(E125:BC125)</f>
        <v>10421182.75</v>
      </c>
      <c r="BE125" s="13">
        <f>SUM(E125:W125)</f>
        <v>5708681.5999999996</v>
      </c>
      <c r="BF125" s="13">
        <f>SUM(X125:AI125)</f>
        <v>822724</v>
      </c>
      <c r="BG125" s="13">
        <f>SUM(AJ125:BC125)</f>
        <v>3889777.15</v>
      </c>
    </row>
    <row r="126" spans="2:59" x14ac:dyDescent="0.2">
      <c r="C126" s="8">
        <v>463</v>
      </c>
      <c r="D126" s="8" t="s">
        <v>174</v>
      </c>
      <c r="E126" s="13">
        <v>102435.05</v>
      </c>
      <c r="F126" s="13">
        <v>60472.15</v>
      </c>
      <c r="G126" s="13">
        <v>34566.28</v>
      </c>
      <c r="H126" s="13">
        <v>2321.3000000000002</v>
      </c>
      <c r="I126" s="13">
        <v>188111.15</v>
      </c>
      <c r="J126" s="13">
        <v>330497.62</v>
      </c>
      <c r="K126" s="13">
        <v>166441.20000000001</v>
      </c>
      <c r="L126" s="13">
        <v>2204417.42</v>
      </c>
      <c r="M126" s="13">
        <v>138144.79999999999</v>
      </c>
      <c r="N126" s="13">
        <v>10439.65</v>
      </c>
      <c r="O126" s="13">
        <v>659158.68999999994</v>
      </c>
      <c r="P126" s="13">
        <v>30381.35</v>
      </c>
      <c r="Q126" s="13">
        <v>5592.45</v>
      </c>
      <c r="R126" s="13">
        <v>25135.1</v>
      </c>
      <c r="S126" s="13">
        <v>23079.599999999999</v>
      </c>
      <c r="T126" s="13">
        <v>30821.8</v>
      </c>
      <c r="U126" s="13">
        <v>21620.45</v>
      </c>
      <c r="V126" s="13">
        <v>75261.7</v>
      </c>
      <c r="W126" s="13">
        <v>276562.3</v>
      </c>
      <c r="X126" s="13">
        <v>63982.35</v>
      </c>
      <c r="Y126" s="13">
        <v>68849.2</v>
      </c>
      <c r="Z126" s="13">
        <v>401675.5</v>
      </c>
      <c r="AA126" s="13">
        <v>24036.45</v>
      </c>
      <c r="AB126" s="13">
        <v>136898.4</v>
      </c>
      <c r="AC126" s="13">
        <v>81289.3</v>
      </c>
      <c r="AD126" s="13">
        <v>108110.39999999999</v>
      </c>
      <c r="AE126" s="13">
        <v>375684.75</v>
      </c>
      <c r="AF126" s="13">
        <v>284080.21999999997</v>
      </c>
      <c r="AG126" s="13">
        <v>756043.85</v>
      </c>
      <c r="AH126" s="13">
        <v>24162.2</v>
      </c>
      <c r="AI126" s="13">
        <v>18358.580000000002</v>
      </c>
      <c r="AJ126" s="13">
        <v>125585.85</v>
      </c>
      <c r="AK126" s="13">
        <v>254261.5</v>
      </c>
      <c r="AL126" s="13">
        <v>210007</v>
      </c>
      <c r="AM126" s="13">
        <v>23432.6</v>
      </c>
      <c r="AN126" s="13">
        <v>80408.25</v>
      </c>
      <c r="AO126" s="13">
        <v>55544.15</v>
      </c>
      <c r="AP126" s="13">
        <v>119171.78</v>
      </c>
      <c r="AQ126" s="13">
        <v>190279.67999999999</v>
      </c>
      <c r="AR126" s="13">
        <v>87197.1</v>
      </c>
      <c r="AS126" s="13">
        <v>480281</v>
      </c>
      <c r="AT126" s="13">
        <v>28496.57</v>
      </c>
      <c r="AU126" s="13">
        <v>158286.29999999999</v>
      </c>
      <c r="AV126" s="13">
        <v>102467.65</v>
      </c>
      <c r="AW126" s="13">
        <v>42118.2</v>
      </c>
      <c r="AX126" s="13">
        <v>35637.4</v>
      </c>
      <c r="AY126" s="13">
        <v>151509.79999999999</v>
      </c>
      <c r="AZ126" s="13">
        <v>24395.599999999999</v>
      </c>
      <c r="BA126" s="13">
        <v>70105.55</v>
      </c>
      <c r="BB126" s="13">
        <v>915036.73</v>
      </c>
      <c r="BC126" s="13">
        <v>85158.45</v>
      </c>
      <c r="BD126" s="13">
        <f>SUM(E126:BC126)</f>
        <v>9968012.4200000018</v>
      </c>
      <c r="BE126" s="13">
        <f>SUM(E126:W126)</f>
        <v>4385460.0600000005</v>
      </c>
      <c r="BF126" s="13">
        <f>SUM(X126:AI126)</f>
        <v>2343171.2000000002</v>
      </c>
      <c r="BG126" s="13">
        <f>SUM(AJ126:BC126)</f>
        <v>3239381.16</v>
      </c>
    </row>
    <row r="127" spans="2:59" x14ac:dyDescent="0.2">
      <c r="C127" s="8">
        <v>469</v>
      </c>
      <c r="D127" s="8" t="s">
        <v>175</v>
      </c>
      <c r="E127" s="13">
        <v>253.05</v>
      </c>
      <c r="F127" s="13">
        <v>21.2</v>
      </c>
      <c r="G127" s="13">
        <v>0</v>
      </c>
      <c r="H127" s="13">
        <v>115.7</v>
      </c>
      <c r="I127" s="13">
        <v>1954.55</v>
      </c>
      <c r="J127" s="13">
        <v>1619.4</v>
      </c>
      <c r="K127" s="13">
        <v>524.15</v>
      </c>
      <c r="L127" s="13">
        <v>7610345.7599999998</v>
      </c>
      <c r="M127" s="13">
        <v>361337.85</v>
      </c>
      <c r="N127" s="13">
        <v>0</v>
      </c>
      <c r="O127" s="13">
        <v>27174.3</v>
      </c>
      <c r="P127" s="13">
        <v>0</v>
      </c>
      <c r="Q127" s="13">
        <v>24.1</v>
      </c>
      <c r="R127" s="13">
        <v>128.44999999999999</v>
      </c>
      <c r="S127" s="13">
        <v>69.45</v>
      </c>
      <c r="T127" s="13">
        <v>133.1</v>
      </c>
      <c r="U127" s="13">
        <v>62.05</v>
      </c>
      <c r="V127" s="13">
        <v>188</v>
      </c>
      <c r="W127" s="13">
        <v>1242.8499999999999</v>
      </c>
      <c r="X127" s="13">
        <v>1323.35</v>
      </c>
      <c r="Y127" s="13">
        <v>2810.15</v>
      </c>
      <c r="Z127" s="13">
        <v>916.6</v>
      </c>
      <c r="AA127" s="13">
        <v>502.55</v>
      </c>
      <c r="AB127" s="13">
        <v>1861.2</v>
      </c>
      <c r="AC127" s="13">
        <v>819.5</v>
      </c>
      <c r="AD127" s="13">
        <v>1638.9</v>
      </c>
      <c r="AE127" s="13">
        <v>0</v>
      </c>
      <c r="AF127" s="13">
        <v>4345.8999999999996</v>
      </c>
      <c r="AG127" s="13">
        <v>939.05</v>
      </c>
      <c r="AH127" s="13">
        <v>538.65</v>
      </c>
      <c r="AI127" s="13">
        <v>295.14999999999998</v>
      </c>
      <c r="AJ127" s="13">
        <v>1615.15</v>
      </c>
      <c r="AK127" s="13">
        <v>21664.75</v>
      </c>
      <c r="AL127" s="13">
        <v>10769.05</v>
      </c>
      <c r="AM127" s="13">
        <v>481.45</v>
      </c>
      <c r="AN127" s="13">
        <v>729.95</v>
      </c>
      <c r="AO127" s="13">
        <v>2184.6</v>
      </c>
      <c r="AP127" s="13">
        <v>5472.25</v>
      </c>
      <c r="AQ127" s="13">
        <v>13707.1</v>
      </c>
      <c r="AR127" s="13">
        <v>1494.9</v>
      </c>
      <c r="AS127" s="13">
        <v>1051.5</v>
      </c>
      <c r="AT127" s="13">
        <v>1415.45</v>
      </c>
      <c r="AU127" s="13">
        <v>1928.15</v>
      </c>
      <c r="AV127" s="13">
        <v>1051.2</v>
      </c>
      <c r="AW127" s="13">
        <v>4755.3999999999996</v>
      </c>
      <c r="AX127" s="13">
        <v>2869.25</v>
      </c>
      <c r="AY127" s="13">
        <v>3282.65</v>
      </c>
      <c r="AZ127" s="13">
        <v>44835.42</v>
      </c>
      <c r="BA127" s="13">
        <v>685.75</v>
      </c>
      <c r="BB127" s="13">
        <v>91124.85</v>
      </c>
      <c r="BC127" s="13">
        <v>6343.9</v>
      </c>
      <c r="BD127" s="13">
        <f>SUM(E127:BC127)</f>
        <v>8238647.6800000006</v>
      </c>
      <c r="BE127" s="13">
        <f>SUM(E127:W127)</f>
        <v>8005193.9599999981</v>
      </c>
      <c r="BF127" s="13">
        <f>SUM(X127:AI127)</f>
        <v>15990.999999999998</v>
      </c>
      <c r="BG127" s="13">
        <f>SUM(AJ127:BC127)</f>
        <v>217462.71999999997</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50">F130</f>
        <v>0</v>
      </c>
      <c r="G129" s="78">
        <f t="shared" si="50"/>
        <v>0</v>
      </c>
      <c r="H129" s="78">
        <f t="shared" si="50"/>
        <v>0</v>
      </c>
      <c r="I129" s="78">
        <f t="shared" si="50"/>
        <v>0</v>
      </c>
      <c r="J129" s="78">
        <f t="shared" si="50"/>
        <v>0</v>
      </c>
      <c r="K129" s="78">
        <f t="shared" si="50"/>
        <v>0</v>
      </c>
      <c r="L129" s="78">
        <f t="shared" si="50"/>
        <v>0</v>
      </c>
      <c r="M129" s="78">
        <f t="shared" si="50"/>
        <v>0</v>
      </c>
      <c r="N129" s="78">
        <f t="shared" si="50"/>
        <v>0</v>
      </c>
      <c r="O129" s="78">
        <f t="shared" si="50"/>
        <v>0</v>
      </c>
      <c r="P129" s="78">
        <f t="shared" si="50"/>
        <v>0</v>
      </c>
      <c r="Q129" s="78">
        <f t="shared" si="50"/>
        <v>0</v>
      </c>
      <c r="R129" s="78">
        <f t="shared" si="50"/>
        <v>0</v>
      </c>
      <c r="S129" s="78">
        <f t="shared" si="50"/>
        <v>0</v>
      </c>
      <c r="T129" s="78">
        <f t="shared" si="50"/>
        <v>0</v>
      </c>
      <c r="U129" s="78">
        <f t="shared" si="50"/>
        <v>0</v>
      </c>
      <c r="V129" s="78">
        <f t="shared" si="50"/>
        <v>0</v>
      </c>
      <c r="W129" s="78">
        <f t="shared" si="50"/>
        <v>0</v>
      </c>
      <c r="X129" s="78">
        <f t="shared" si="50"/>
        <v>466114.95</v>
      </c>
      <c r="Y129" s="78">
        <f t="shared" si="50"/>
        <v>0</v>
      </c>
      <c r="Z129" s="78">
        <f t="shared" si="50"/>
        <v>585449.4</v>
      </c>
      <c r="AA129" s="78">
        <f t="shared" si="50"/>
        <v>195651.95</v>
      </c>
      <c r="AB129" s="78">
        <f t="shared" si="50"/>
        <v>157177.60000000001</v>
      </c>
      <c r="AC129" s="78">
        <f t="shared" si="50"/>
        <v>0</v>
      </c>
      <c r="AD129" s="78">
        <f t="shared" si="50"/>
        <v>249241</v>
      </c>
      <c r="AE129" s="78">
        <f t="shared" si="50"/>
        <v>608649.4</v>
      </c>
      <c r="AF129" s="78">
        <f t="shared" si="50"/>
        <v>417668.5</v>
      </c>
      <c r="AG129" s="78">
        <f t="shared" si="50"/>
        <v>0</v>
      </c>
      <c r="AH129" s="78">
        <f t="shared" si="50"/>
        <v>2864</v>
      </c>
      <c r="AI129" s="78">
        <f t="shared" si="50"/>
        <v>0</v>
      </c>
      <c r="AJ129" s="78">
        <f t="shared" si="50"/>
        <v>0</v>
      </c>
      <c r="AK129" s="78">
        <f t="shared" si="50"/>
        <v>0</v>
      </c>
      <c r="AL129" s="78">
        <f t="shared" si="50"/>
        <v>0</v>
      </c>
      <c r="AM129" s="78">
        <f t="shared" si="50"/>
        <v>0</v>
      </c>
      <c r="AN129" s="78">
        <f t="shared" si="50"/>
        <v>0</v>
      </c>
      <c r="AO129" s="78">
        <f t="shared" si="50"/>
        <v>0</v>
      </c>
      <c r="AP129" s="78">
        <f t="shared" si="50"/>
        <v>0</v>
      </c>
      <c r="AQ129" s="78">
        <f t="shared" si="50"/>
        <v>51182.95</v>
      </c>
      <c r="AR129" s="78">
        <f t="shared" si="50"/>
        <v>0</v>
      </c>
      <c r="AS129" s="78">
        <f t="shared" si="50"/>
        <v>0</v>
      </c>
      <c r="AT129" s="78">
        <f t="shared" si="50"/>
        <v>0</v>
      </c>
      <c r="AU129" s="78">
        <f t="shared" si="50"/>
        <v>79832.649999999994</v>
      </c>
      <c r="AV129" s="78">
        <f t="shared" si="50"/>
        <v>9660</v>
      </c>
      <c r="AW129" s="78">
        <f t="shared" si="50"/>
        <v>0</v>
      </c>
      <c r="AX129" s="78">
        <f t="shared" si="50"/>
        <v>0</v>
      </c>
      <c r="AY129" s="78">
        <f t="shared" si="50"/>
        <v>0</v>
      </c>
      <c r="AZ129" s="78">
        <f t="shared" si="50"/>
        <v>0</v>
      </c>
      <c r="BA129" s="78">
        <f t="shared" si="50"/>
        <v>0</v>
      </c>
      <c r="BB129" s="78">
        <f t="shared" si="50"/>
        <v>0</v>
      </c>
      <c r="BC129" s="78">
        <f t="shared" si="50"/>
        <v>0</v>
      </c>
      <c r="BD129" s="78">
        <f t="shared" si="50"/>
        <v>2823492.4000000004</v>
      </c>
      <c r="BE129" s="78">
        <f t="shared" si="50"/>
        <v>0</v>
      </c>
      <c r="BF129" s="78">
        <f t="shared" si="50"/>
        <v>2682816.8000000003</v>
      </c>
      <c r="BG129" s="78">
        <f t="shared" si="50"/>
        <v>140675.59999999998</v>
      </c>
    </row>
    <row r="130" spans="2:59"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466114.95</v>
      </c>
      <c r="Y130" s="13">
        <v>0</v>
      </c>
      <c r="Z130" s="13">
        <v>585449.4</v>
      </c>
      <c r="AA130" s="13">
        <v>195651.95</v>
      </c>
      <c r="AB130" s="13">
        <v>157177.60000000001</v>
      </c>
      <c r="AC130" s="13">
        <v>0</v>
      </c>
      <c r="AD130" s="13">
        <v>249241</v>
      </c>
      <c r="AE130" s="13">
        <v>608649.4</v>
      </c>
      <c r="AF130" s="13">
        <v>417668.5</v>
      </c>
      <c r="AG130" s="13">
        <v>0</v>
      </c>
      <c r="AH130" s="13">
        <v>2864</v>
      </c>
      <c r="AI130" s="13">
        <v>0</v>
      </c>
      <c r="AJ130" s="13">
        <v>0</v>
      </c>
      <c r="AK130" s="13">
        <v>0</v>
      </c>
      <c r="AL130" s="13">
        <v>0</v>
      </c>
      <c r="AM130" s="13">
        <v>0</v>
      </c>
      <c r="AN130" s="13">
        <v>0</v>
      </c>
      <c r="AO130" s="13">
        <v>0</v>
      </c>
      <c r="AP130" s="13">
        <v>0</v>
      </c>
      <c r="AQ130" s="13">
        <v>51182.95</v>
      </c>
      <c r="AR130" s="13">
        <v>0</v>
      </c>
      <c r="AS130" s="13">
        <v>0</v>
      </c>
      <c r="AT130" s="13">
        <v>0</v>
      </c>
      <c r="AU130" s="13">
        <v>79832.649999999994</v>
      </c>
      <c r="AV130" s="13">
        <v>9660</v>
      </c>
      <c r="AW130" s="13">
        <v>0</v>
      </c>
      <c r="AX130" s="13">
        <v>0</v>
      </c>
      <c r="AY130" s="13">
        <v>0</v>
      </c>
      <c r="AZ130" s="13">
        <v>0</v>
      </c>
      <c r="BA130" s="13">
        <v>0</v>
      </c>
      <c r="BB130" s="13">
        <v>0</v>
      </c>
      <c r="BC130" s="13">
        <v>0</v>
      </c>
      <c r="BD130" s="13">
        <f>SUM(E130:BC130)</f>
        <v>2823492.4000000004</v>
      </c>
      <c r="BE130" s="13">
        <f>SUM(E130:W130)</f>
        <v>0</v>
      </c>
      <c r="BF130" s="13">
        <f>SUM(X130:AI130)</f>
        <v>2682816.8000000003</v>
      </c>
      <c r="BG130" s="13">
        <f>SUM(AJ130:BC130)</f>
        <v>140675.59999999998</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7472.87</v>
      </c>
      <c r="F132" s="78">
        <f t="shared" ref="F132:BG132" si="51">F133+F134+F135+F136+F137+F138+F139</f>
        <v>0</v>
      </c>
      <c r="G132" s="78">
        <f t="shared" si="51"/>
        <v>0</v>
      </c>
      <c r="H132" s="78">
        <f t="shared" si="51"/>
        <v>2572.4499999999998</v>
      </c>
      <c r="I132" s="78">
        <f t="shared" si="51"/>
        <v>164654.79999999999</v>
      </c>
      <c r="J132" s="78">
        <f t="shared" si="51"/>
        <v>0</v>
      </c>
      <c r="K132" s="78">
        <f t="shared" si="51"/>
        <v>33019.979999999996</v>
      </c>
      <c r="L132" s="78">
        <f t="shared" si="51"/>
        <v>1253909</v>
      </c>
      <c r="M132" s="78">
        <f t="shared" si="51"/>
        <v>10700</v>
      </c>
      <c r="N132" s="78">
        <f t="shared" si="51"/>
        <v>0</v>
      </c>
      <c r="O132" s="78">
        <f t="shared" si="51"/>
        <v>413099.54</v>
      </c>
      <c r="P132" s="78">
        <f t="shared" si="51"/>
        <v>3001.3</v>
      </c>
      <c r="Q132" s="78">
        <f t="shared" si="51"/>
        <v>0</v>
      </c>
      <c r="R132" s="78">
        <f t="shared" si="51"/>
        <v>0</v>
      </c>
      <c r="S132" s="78">
        <f t="shared" si="51"/>
        <v>0</v>
      </c>
      <c r="T132" s="78">
        <f t="shared" si="51"/>
        <v>8700</v>
      </c>
      <c r="U132" s="78">
        <f t="shared" si="51"/>
        <v>667.55</v>
      </c>
      <c r="V132" s="78">
        <f t="shared" si="51"/>
        <v>0</v>
      </c>
      <c r="W132" s="78">
        <f t="shared" si="51"/>
        <v>13302.8</v>
      </c>
      <c r="X132" s="78">
        <f t="shared" si="51"/>
        <v>0</v>
      </c>
      <c r="Y132" s="78">
        <f t="shared" si="51"/>
        <v>0</v>
      </c>
      <c r="Z132" s="78">
        <f t="shared" si="51"/>
        <v>37000</v>
      </c>
      <c r="AA132" s="78">
        <f t="shared" si="51"/>
        <v>0</v>
      </c>
      <c r="AB132" s="78">
        <f t="shared" si="51"/>
        <v>0</v>
      </c>
      <c r="AC132" s="78">
        <f t="shared" si="51"/>
        <v>5.4</v>
      </c>
      <c r="AD132" s="78">
        <f t="shared" si="51"/>
        <v>0</v>
      </c>
      <c r="AE132" s="78">
        <f t="shared" si="51"/>
        <v>0</v>
      </c>
      <c r="AF132" s="78">
        <f t="shared" si="51"/>
        <v>0</v>
      </c>
      <c r="AG132" s="78">
        <f t="shared" si="51"/>
        <v>0</v>
      </c>
      <c r="AH132" s="78">
        <f t="shared" si="51"/>
        <v>0</v>
      </c>
      <c r="AI132" s="78">
        <f t="shared" si="51"/>
        <v>0</v>
      </c>
      <c r="AJ132" s="78">
        <f t="shared" si="51"/>
        <v>0</v>
      </c>
      <c r="AK132" s="78">
        <f t="shared" si="51"/>
        <v>0</v>
      </c>
      <c r="AL132" s="78">
        <f t="shared" si="51"/>
        <v>0</v>
      </c>
      <c r="AM132" s="78">
        <f t="shared" si="51"/>
        <v>0</v>
      </c>
      <c r="AN132" s="78">
        <f t="shared" si="51"/>
        <v>0</v>
      </c>
      <c r="AO132" s="78">
        <f t="shared" si="51"/>
        <v>607</v>
      </c>
      <c r="AP132" s="78">
        <f t="shared" si="51"/>
        <v>567</v>
      </c>
      <c r="AQ132" s="78">
        <f t="shared" si="51"/>
        <v>0</v>
      </c>
      <c r="AR132" s="78">
        <f t="shared" si="51"/>
        <v>422</v>
      </c>
      <c r="AS132" s="78">
        <f t="shared" si="51"/>
        <v>0</v>
      </c>
      <c r="AT132" s="78">
        <f t="shared" si="51"/>
        <v>338</v>
      </c>
      <c r="AU132" s="78">
        <f t="shared" si="51"/>
        <v>0</v>
      </c>
      <c r="AV132" s="78">
        <f t="shared" si="51"/>
        <v>633</v>
      </c>
      <c r="AW132" s="78">
        <f t="shared" si="51"/>
        <v>442</v>
      </c>
      <c r="AX132" s="78">
        <f t="shared" si="51"/>
        <v>311</v>
      </c>
      <c r="AY132" s="78">
        <f t="shared" si="51"/>
        <v>1597</v>
      </c>
      <c r="AZ132" s="78">
        <f t="shared" si="51"/>
        <v>319</v>
      </c>
      <c r="BA132" s="78">
        <f t="shared" si="51"/>
        <v>1083.4000000000001</v>
      </c>
      <c r="BB132" s="78">
        <f t="shared" si="51"/>
        <v>0</v>
      </c>
      <c r="BC132" s="78">
        <f t="shared" si="51"/>
        <v>590</v>
      </c>
      <c r="BD132" s="78">
        <f t="shared" si="51"/>
        <v>1955015.09</v>
      </c>
      <c r="BE132" s="78">
        <f t="shared" si="51"/>
        <v>1911100.2900000003</v>
      </c>
      <c r="BF132" s="78">
        <f t="shared" si="51"/>
        <v>37005.4</v>
      </c>
      <c r="BG132" s="78">
        <f t="shared" si="51"/>
        <v>6909.4</v>
      </c>
    </row>
    <row r="133" spans="2:5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f t="shared" ref="BD133:BD139" si="52">SUM(E133:BC133)</f>
        <v>0</v>
      </c>
      <c r="BE133" s="13">
        <f t="shared" ref="BE133:BE139" si="53">SUM(E133:W133)</f>
        <v>0</v>
      </c>
      <c r="BF133" s="13">
        <f t="shared" ref="BF133:BF139" si="54">SUM(X133:AI133)</f>
        <v>0</v>
      </c>
      <c r="BG133" s="13">
        <f t="shared" ref="BG133:BG139" si="55">SUM(AJ133:BC133)</f>
        <v>0</v>
      </c>
    </row>
    <row r="134" spans="2:5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f t="shared" si="52"/>
        <v>0</v>
      </c>
      <c r="BE134" s="13">
        <f t="shared" si="53"/>
        <v>0</v>
      </c>
      <c r="BF134" s="13">
        <f t="shared" si="54"/>
        <v>0</v>
      </c>
      <c r="BG134" s="13">
        <f t="shared" si="55"/>
        <v>0</v>
      </c>
    </row>
    <row r="135" spans="2:5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5.4</v>
      </c>
      <c r="AD135" s="13">
        <v>0</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f t="shared" si="52"/>
        <v>5.4</v>
      </c>
      <c r="BE135" s="13">
        <f t="shared" si="53"/>
        <v>0</v>
      </c>
      <c r="BF135" s="13">
        <f t="shared" si="54"/>
        <v>5.4</v>
      </c>
      <c r="BG135" s="13">
        <f t="shared" si="55"/>
        <v>0</v>
      </c>
    </row>
    <row r="136" spans="2:59" x14ac:dyDescent="0.2">
      <c r="C136" s="8">
        <v>484</v>
      </c>
      <c r="D136" s="8" t="s">
        <v>181</v>
      </c>
      <c r="E136" s="13">
        <v>0</v>
      </c>
      <c r="F136" s="13">
        <v>0</v>
      </c>
      <c r="G136" s="13">
        <v>0</v>
      </c>
      <c r="H136" s="13">
        <v>0</v>
      </c>
      <c r="I136" s="13">
        <v>0</v>
      </c>
      <c r="J136" s="13">
        <v>0</v>
      </c>
      <c r="K136" s="13">
        <v>18552.23</v>
      </c>
      <c r="L136" s="13">
        <v>0</v>
      </c>
      <c r="M136" s="13">
        <v>0</v>
      </c>
      <c r="N136" s="13">
        <v>0</v>
      </c>
      <c r="O136" s="13">
        <v>0</v>
      </c>
      <c r="P136" s="13">
        <v>0</v>
      </c>
      <c r="Q136" s="13">
        <v>0</v>
      </c>
      <c r="R136" s="13">
        <v>0</v>
      </c>
      <c r="S136" s="13">
        <v>0</v>
      </c>
      <c r="T136" s="13">
        <v>0</v>
      </c>
      <c r="U136" s="13">
        <v>0</v>
      </c>
      <c r="V136" s="13">
        <v>0</v>
      </c>
      <c r="W136" s="13">
        <v>0</v>
      </c>
      <c r="X136" s="13">
        <v>0</v>
      </c>
      <c r="Y136" s="13">
        <v>0</v>
      </c>
      <c r="Z136" s="13">
        <v>37000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f t="shared" si="52"/>
        <v>55552.229999999996</v>
      </c>
      <c r="BE136" s="13">
        <f t="shared" si="53"/>
        <v>18552.23</v>
      </c>
      <c r="BF136" s="13">
        <f t="shared" si="54"/>
        <v>37000</v>
      </c>
      <c r="BG136" s="13">
        <f t="shared" si="55"/>
        <v>0</v>
      </c>
    </row>
    <row r="137" spans="2:5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338</v>
      </c>
      <c r="AU137" s="13">
        <v>0</v>
      </c>
      <c r="AV137" s="13">
        <v>0</v>
      </c>
      <c r="AW137" s="13">
        <v>0</v>
      </c>
      <c r="AX137" s="13">
        <v>0</v>
      </c>
      <c r="AY137" s="13">
        <v>0</v>
      </c>
      <c r="AZ137" s="13">
        <v>0</v>
      </c>
      <c r="BA137" s="13">
        <v>0</v>
      </c>
      <c r="BB137" s="13">
        <v>0</v>
      </c>
      <c r="BC137" s="13">
        <v>0</v>
      </c>
      <c r="BD137" s="13">
        <f t="shared" si="52"/>
        <v>338</v>
      </c>
      <c r="BE137" s="13">
        <f t="shared" si="53"/>
        <v>0</v>
      </c>
      <c r="BF137" s="13">
        <f t="shared" si="54"/>
        <v>0</v>
      </c>
      <c r="BG137" s="13">
        <f t="shared" si="55"/>
        <v>338</v>
      </c>
    </row>
    <row r="138" spans="2:5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f t="shared" si="52"/>
        <v>0</v>
      </c>
      <c r="BE138" s="13">
        <f t="shared" si="53"/>
        <v>0</v>
      </c>
      <c r="BF138" s="13">
        <f t="shared" si="54"/>
        <v>0</v>
      </c>
      <c r="BG138" s="13">
        <f t="shared" si="55"/>
        <v>0</v>
      </c>
    </row>
    <row r="139" spans="2:59" x14ac:dyDescent="0.2">
      <c r="C139" s="8">
        <v>489</v>
      </c>
      <c r="D139" s="8" t="s">
        <v>184</v>
      </c>
      <c r="E139" s="13">
        <v>7472.87</v>
      </c>
      <c r="F139" s="13">
        <v>0</v>
      </c>
      <c r="G139" s="13">
        <v>0</v>
      </c>
      <c r="H139" s="13">
        <v>2572.4499999999998</v>
      </c>
      <c r="I139" s="13">
        <v>164654.79999999999</v>
      </c>
      <c r="J139" s="13">
        <v>0</v>
      </c>
      <c r="K139" s="13">
        <v>14467.75</v>
      </c>
      <c r="L139" s="13">
        <v>1253909</v>
      </c>
      <c r="M139" s="13">
        <v>10700</v>
      </c>
      <c r="N139" s="13">
        <v>0</v>
      </c>
      <c r="O139" s="13">
        <v>413099.54</v>
      </c>
      <c r="P139" s="13">
        <v>3001.3</v>
      </c>
      <c r="Q139" s="13">
        <v>0</v>
      </c>
      <c r="R139" s="13">
        <v>0</v>
      </c>
      <c r="S139" s="13">
        <v>0</v>
      </c>
      <c r="T139" s="13">
        <v>8700</v>
      </c>
      <c r="U139" s="13">
        <v>667.55</v>
      </c>
      <c r="V139" s="13">
        <v>0</v>
      </c>
      <c r="W139" s="13">
        <v>13302.8</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607</v>
      </c>
      <c r="AP139" s="13">
        <v>567</v>
      </c>
      <c r="AQ139" s="13">
        <v>0</v>
      </c>
      <c r="AR139" s="13">
        <v>422</v>
      </c>
      <c r="AS139" s="13">
        <v>0</v>
      </c>
      <c r="AT139" s="13">
        <v>0</v>
      </c>
      <c r="AU139" s="13">
        <v>0</v>
      </c>
      <c r="AV139" s="13">
        <v>633</v>
      </c>
      <c r="AW139" s="13">
        <v>442</v>
      </c>
      <c r="AX139" s="13">
        <v>311</v>
      </c>
      <c r="AY139" s="13">
        <v>1597</v>
      </c>
      <c r="AZ139" s="13">
        <v>319</v>
      </c>
      <c r="BA139" s="13">
        <v>1083.4000000000001</v>
      </c>
      <c r="BB139" s="13">
        <v>0</v>
      </c>
      <c r="BC139" s="13">
        <v>590</v>
      </c>
      <c r="BD139" s="13">
        <f t="shared" si="52"/>
        <v>1899119.4600000002</v>
      </c>
      <c r="BE139" s="13">
        <f t="shared" si="53"/>
        <v>1892548.0600000003</v>
      </c>
      <c r="BF139" s="13">
        <f t="shared" si="54"/>
        <v>0</v>
      </c>
      <c r="BG139" s="13">
        <f t="shared" si="55"/>
        <v>6571.4</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56">F142+F143+F144+F145+F146+F147+F148+F149</f>
        <v>27370.260000000002</v>
      </c>
      <c r="G141" s="78">
        <f t="shared" si="56"/>
        <v>6509.25</v>
      </c>
      <c r="H141" s="78">
        <f t="shared" si="56"/>
        <v>55508.800000000003</v>
      </c>
      <c r="I141" s="78">
        <f t="shared" si="56"/>
        <v>319450</v>
      </c>
      <c r="J141" s="78">
        <f t="shared" si="56"/>
        <v>91570</v>
      </c>
      <c r="K141" s="78">
        <f t="shared" si="56"/>
        <v>216161.1</v>
      </c>
      <c r="L141" s="78">
        <f t="shared" si="56"/>
        <v>5081197.18</v>
      </c>
      <c r="M141" s="78">
        <f t="shared" si="56"/>
        <v>91691.56</v>
      </c>
      <c r="N141" s="78">
        <f t="shared" si="56"/>
        <v>9236.35</v>
      </c>
      <c r="O141" s="78">
        <f t="shared" si="56"/>
        <v>317089.40000000002</v>
      </c>
      <c r="P141" s="78">
        <f t="shared" si="56"/>
        <v>13217.6</v>
      </c>
      <c r="Q141" s="78">
        <f t="shared" si="56"/>
        <v>0</v>
      </c>
      <c r="R141" s="78">
        <f t="shared" si="56"/>
        <v>69791.649999999994</v>
      </c>
      <c r="S141" s="78">
        <f t="shared" si="56"/>
        <v>0</v>
      </c>
      <c r="T141" s="78">
        <f t="shared" si="56"/>
        <v>0</v>
      </c>
      <c r="U141" s="78">
        <f t="shared" si="56"/>
        <v>0</v>
      </c>
      <c r="V141" s="78">
        <f t="shared" si="56"/>
        <v>73000</v>
      </c>
      <c r="W141" s="78">
        <f t="shared" si="56"/>
        <v>118800</v>
      </c>
      <c r="X141" s="78">
        <f t="shared" si="56"/>
        <v>0</v>
      </c>
      <c r="Y141" s="78">
        <f t="shared" si="56"/>
        <v>0</v>
      </c>
      <c r="Z141" s="78">
        <f t="shared" si="56"/>
        <v>551427</v>
      </c>
      <c r="AA141" s="78">
        <f t="shared" si="56"/>
        <v>0</v>
      </c>
      <c r="AB141" s="78">
        <f t="shared" si="56"/>
        <v>0</v>
      </c>
      <c r="AC141" s="78">
        <f t="shared" si="56"/>
        <v>44455.9</v>
      </c>
      <c r="AD141" s="78">
        <f t="shared" si="56"/>
        <v>11819</v>
      </c>
      <c r="AE141" s="78">
        <f t="shared" si="56"/>
        <v>105587.15</v>
      </c>
      <c r="AF141" s="78">
        <f t="shared" si="56"/>
        <v>14579.45</v>
      </c>
      <c r="AG141" s="78">
        <f t="shared" si="56"/>
        <v>30900</v>
      </c>
      <c r="AH141" s="78">
        <f t="shared" si="56"/>
        <v>0</v>
      </c>
      <c r="AI141" s="78">
        <f t="shared" si="56"/>
        <v>0</v>
      </c>
      <c r="AJ141" s="78">
        <f t="shared" si="56"/>
        <v>93000</v>
      </c>
      <c r="AK141" s="78">
        <f t="shared" si="56"/>
        <v>56246.85</v>
      </c>
      <c r="AL141" s="78">
        <f t="shared" si="56"/>
        <v>2993.7</v>
      </c>
      <c r="AM141" s="78">
        <f t="shared" si="56"/>
        <v>11541.94</v>
      </c>
      <c r="AN141" s="78">
        <f t="shared" si="56"/>
        <v>37093.449999999997</v>
      </c>
      <c r="AO141" s="78">
        <f t="shared" si="56"/>
        <v>98947.05</v>
      </c>
      <c r="AP141" s="78">
        <f t="shared" si="56"/>
        <v>0</v>
      </c>
      <c r="AQ141" s="78">
        <f t="shared" si="56"/>
        <v>0</v>
      </c>
      <c r="AR141" s="78">
        <f t="shared" si="56"/>
        <v>50915.37</v>
      </c>
      <c r="AS141" s="78">
        <f t="shared" si="56"/>
        <v>53582.2</v>
      </c>
      <c r="AT141" s="78">
        <f t="shared" si="56"/>
        <v>2000</v>
      </c>
      <c r="AU141" s="78">
        <f t="shared" si="56"/>
        <v>136589.6</v>
      </c>
      <c r="AV141" s="78">
        <f t="shared" si="56"/>
        <v>0</v>
      </c>
      <c r="AW141" s="78">
        <f t="shared" si="56"/>
        <v>7519.65</v>
      </c>
      <c r="AX141" s="78">
        <f t="shared" si="56"/>
        <v>0</v>
      </c>
      <c r="AY141" s="78">
        <f t="shared" si="56"/>
        <v>108882.25</v>
      </c>
      <c r="AZ141" s="78">
        <f t="shared" si="56"/>
        <v>0</v>
      </c>
      <c r="BA141" s="78">
        <f t="shared" si="56"/>
        <v>47620.45</v>
      </c>
      <c r="BB141" s="78">
        <f t="shared" si="56"/>
        <v>0</v>
      </c>
      <c r="BC141" s="78">
        <f t="shared" si="56"/>
        <v>15500</v>
      </c>
      <c r="BD141" s="78">
        <f t="shared" si="56"/>
        <v>7971794.1600000001</v>
      </c>
      <c r="BE141" s="78">
        <f t="shared" si="56"/>
        <v>6490593.1499999994</v>
      </c>
      <c r="BF141" s="78">
        <f t="shared" si="56"/>
        <v>758768.5</v>
      </c>
      <c r="BG141" s="78">
        <f t="shared" si="56"/>
        <v>722432.51</v>
      </c>
    </row>
    <row r="142" spans="2:59" x14ac:dyDescent="0.2">
      <c r="C142" s="8">
        <v>490</v>
      </c>
      <c r="D142" s="8" t="s">
        <v>125</v>
      </c>
      <c r="E142" s="13">
        <v>0</v>
      </c>
      <c r="F142" s="13">
        <v>200</v>
      </c>
      <c r="G142" s="13">
        <v>0</v>
      </c>
      <c r="H142" s="13">
        <v>0</v>
      </c>
      <c r="I142" s="13">
        <v>0</v>
      </c>
      <c r="J142" s="13">
        <v>0</v>
      </c>
      <c r="K142" s="13">
        <v>0</v>
      </c>
      <c r="L142" s="13">
        <v>255000</v>
      </c>
      <c r="M142" s="13">
        <v>1200</v>
      </c>
      <c r="N142" s="13">
        <v>0</v>
      </c>
      <c r="O142" s="13">
        <v>83159.399999999994</v>
      </c>
      <c r="P142" s="13">
        <v>0</v>
      </c>
      <c r="Q142" s="13">
        <v>0</v>
      </c>
      <c r="R142" s="13">
        <v>0</v>
      </c>
      <c r="S142" s="13">
        <v>0</v>
      </c>
      <c r="T142" s="13">
        <v>0</v>
      </c>
      <c r="U142" s="13">
        <v>0</v>
      </c>
      <c r="V142" s="13">
        <v>0</v>
      </c>
      <c r="W142" s="13">
        <v>0</v>
      </c>
      <c r="X142" s="13">
        <v>0</v>
      </c>
      <c r="Y142" s="13">
        <v>0</v>
      </c>
      <c r="Z142" s="13">
        <v>467427</v>
      </c>
      <c r="AA142" s="13">
        <v>0</v>
      </c>
      <c r="AB142" s="13">
        <v>0</v>
      </c>
      <c r="AC142" s="13">
        <v>1350</v>
      </c>
      <c r="AD142" s="13">
        <v>0</v>
      </c>
      <c r="AE142" s="13">
        <v>0</v>
      </c>
      <c r="AF142" s="13">
        <v>5860.55</v>
      </c>
      <c r="AG142" s="13">
        <v>0</v>
      </c>
      <c r="AH142" s="13">
        <v>0</v>
      </c>
      <c r="AI142" s="13">
        <v>0</v>
      </c>
      <c r="AJ142" s="13">
        <v>0</v>
      </c>
      <c r="AK142" s="13">
        <v>0</v>
      </c>
      <c r="AL142" s="13">
        <v>0</v>
      </c>
      <c r="AM142" s="13">
        <v>0</v>
      </c>
      <c r="AN142" s="13">
        <v>0</v>
      </c>
      <c r="AO142" s="13">
        <v>800</v>
      </c>
      <c r="AP142" s="13">
        <v>0</v>
      </c>
      <c r="AQ142" s="13">
        <v>0</v>
      </c>
      <c r="AR142" s="13">
        <v>0</v>
      </c>
      <c r="AS142" s="13">
        <v>0</v>
      </c>
      <c r="AT142" s="13">
        <v>0</v>
      </c>
      <c r="AU142" s="13">
        <v>0</v>
      </c>
      <c r="AV142" s="13">
        <v>0</v>
      </c>
      <c r="AW142" s="13">
        <v>0</v>
      </c>
      <c r="AX142" s="13">
        <v>0</v>
      </c>
      <c r="AY142" s="13">
        <v>0</v>
      </c>
      <c r="AZ142" s="13">
        <v>0</v>
      </c>
      <c r="BA142" s="13">
        <v>0</v>
      </c>
      <c r="BB142" s="13">
        <v>0</v>
      </c>
      <c r="BC142" s="13">
        <v>0</v>
      </c>
      <c r="BD142" s="13">
        <f t="shared" ref="BD142:BD149" si="57">SUM(E142:BC142)</f>
        <v>814996.95000000007</v>
      </c>
      <c r="BE142" s="13">
        <f t="shared" ref="BE142:BE149" si="58">SUM(E142:W142)</f>
        <v>339559.4</v>
      </c>
      <c r="BF142" s="13">
        <f t="shared" ref="BF142:BF149" si="59">SUM(X142:AI142)</f>
        <v>474637.55</v>
      </c>
      <c r="BG142" s="13">
        <f t="shared" ref="BG142:BG149" si="60">SUM(AJ142:BC142)</f>
        <v>800</v>
      </c>
    </row>
    <row r="143" spans="2:59" x14ac:dyDescent="0.2">
      <c r="C143" s="8">
        <v>491</v>
      </c>
      <c r="D143" s="8" t="s">
        <v>126</v>
      </c>
      <c r="E143" s="13">
        <v>0</v>
      </c>
      <c r="F143" s="13">
        <v>5207.3500000000004</v>
      </c>
      <c r="G143" s="13">
        <v>4579</v>
      </c>
      <c r="H143" s="13">
        <v>55152.800000000003</v>
      </c>
      <c r="I143" s="13">
        <v>319450</v>
      </c>
      <c r="J143" s="13">
        <v>91570</v>
      </c>
      <c r="K143" s="13">
        <v>123955</v>
      </c>
      <c r="L143" s="13">
        <v>1444806.35</v>
      </c>
      <c r="M143" s="13">
        <v>59255.15</v>
      </c>
      <c r="N143" s="13">
        <v>9236.35</v>
      </c>
      <c r="O143" s="13">
        <v>233930</v>
      </c>
      <c r="P143" s="13">
        <v>13217.6</v>
      </c>
      <c r="Q143" s="13">
        <v>0</v>
      </c>
      <c r="R143" s="13">
        <v>69791.649999999994</v>
      </c>
      <c r="S143" s="13">
        <v>0</v>
      </c>
      <c r="T143" s="13">
        <v>0</v>
      </c>
      <c r="U143" s="13">
        <v>0</v>
      </c>
      <c r="V143" s="13">
        <v>73000</v>
      </c>
      <c r="W143" s="13">
        <v>92400</v>
      </c>
      <c r="X143" s="13">
        <v>0</v>
      </c>
      <c r="Y143" s="13">
        <v>0</v>
      </c>
      <c r="Z143" s="13">
        <v>0</v>
      </c>
      <c r="AA143" s="13">
        <v>0</v>
      </c>
      <c r="AB143" s="13">
        <v>0</v>
      </c>
      <c r="AC143" s="13">
        <v>43105.9</v>
      </c>
      <c r="AD143" s="13">
        <v>11819</v>
      </c>
      <c r="AE143" s="13">
        <v>105587.15</v>
      </c>
      <c r="AF143" s="13">
        <v>8718.9</v>
      </c>
      <c r="AG143" s="13">
        <v>30900</v>
      </c>
      <c r="AH143" s="13">
        <v>0</v>
      </c>
      <c r="AI143" s="13">
        <v>0</v>
      </c>
      <c r="AJ143" s="13">
        <v>93000</v>
      </c>
      <c r="AK143" s="13">
        <v>0</v>
      </c>
      <c r="AL143" s="13">
        <v>2993.7</v>
      </c>
      <c r="AM143" s="13">
        <v>11541.94</v>
      </c>
      <c r="AN143" s="13">
        <v>37093.449999999997</v>
      </c>
      <c r="AO143" s="13">
        <v>64038.9</v>
      </c>
      <c r="AP143" s="13">
        <v>0</v>
      </c>
      <c r="AQ143" s="13">
        <v>0</v>
      </c>
      <c r="AR143" s="13">
        <v>0</v>
      </c>
      <c r="AS143" s="13">
        <v>53582.2</v>
      </c>
      <c r="AT143" s="13">
        <v>2000</v>
      </c>
      <c r="AU143" s="13">
        <v>136589.6</v>
      </c>
      <c r="AV143" s="13">
        <v>0</v>
      </c>
      <c r="AW143" s="13">
        <v>0</v>
      </c>
      <c r="AX143" s="13">
        <v>0</v>
      </c>
      <c r="AY143" s="13">
        <v>101282.25</v>
      </c>
      <c r="AZ143" s="13">
        <v>0</v>
      </c>
      <c r="BA143" s="13">
        <v>47620.45</v>
      </c>
      <c r="BB143" s="13">
        <v>0</v>
      </c>
      <c r="BC143" s="13">
        <v>15500</v>
      </c>
      <c r="BD143" s="13">
        <f t="shared" si="57"/>
        <v>3360924.6900000004</v>
      </c>
      <c r="BE143" s="13">
        <f t="shared" si="58"/>
        <v>2595551.25</v>
      </c>
      <c r="BF143" s="13">
        <f t="shared" si="59"/>
        <v>200130.94999999998</v>
      </c>
      <c r="BG143" s="13">
        <f t="shared" si="60"/>
        <v>565242.49</v>
      </c>
    </row>
    <row r="144" spans="2:59" x14ac:dyDescent="0.2">
      <c r="C144" s="8">
        <v>492</v>
      </c>
      <c r="D144" s="8" t="s">
        <v>185</v>
      </c>
      <c r="E144" s="13">
        <v>0</v>
      </c>
      <c r="F144" s="13">
        <v>0</v>
      </c>
      <c r="G144" s="13">
        <v>0</v>
      </c>
      <c r="H144" s="13">
        <v>0</v>
      </c>
      <c r="I144" s="13">
        <v>0</v>
      </c>
      <c r="J144" s="13">
        <v>0</v>
      </c>
      <c r="K144" s="13">
        <v>0</v>
      </c>
      <c r="L144" s="13">
        <v>120000</v>
      </c>
      <c r="M144" s="13">
        <v>0</v>
      </c>
      <c r="N144" s="13">
        <v>0</v>
      </c>
      <c r="O144" s="13">
        <v>0</v>
      </c>
      <c r="P144" s="13">
        <v>0</v>
      </c>
      <c r="Q144" s="13">
        <v>0</v>
      </c>
      <c r="R144" s="13">
        <v>0</v>
      </c>
      <c r="S144" s="13">
        <v>0</v>
      </c>
      <c r="T144" s="13">
        <v>0</v>
      </c>
      <c r="U144" s="13">
        <v>0</v>
      </c>
      <c r="V144" s="13">
        <v>0</v>
      </c>
      <c r="W144" s="13">
        <v>8400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f t="shared" si="57"/>
        <v>212400</v>
      </c>
      <c r="BE144" s="13">
        <f t="shared" si="58"/>
        <v>128400</v>
      </c>
      <c r="BF144" s="13">
        <f t="shared" si="59"/>
        <v>84000</v>
      </c>
      <c r="BG144" s="13">
        <f t="shared" si="60"/>
        <v>0</v>
      </c>
    </row>
    <row r="145" spans="1:59" x14ac:dyDescent="0.2">
      <c r="C145" s="8">
        <v>493</v>
      </c>
      <c r="D145" s="8" t="s">
        <v>186</v>
      </c>
      <c r="E145" s="13">
        <v>0</v>
      </c>
      <c r="F145" s="13">
        <v>0</v>
      </c>
      <c r="G145" s="13">
        <v>1930.25</v>
      </c>
      <c r="H145" s="13">
        <v>0</v>
      </c>
      <c r="I145" s="13">
        <v>0</v>
      </c>
      <c r="J145" s="13">
        <v>0</v>
      </c>
      <c r="K145" s="13">
        <v>15054</v>
      </c>
      <c r="L145" s="13">
        <v>23353.8</v>
      </c>
      <c r="M145" s="13">
        <v>0</v>
      </c>
      <c r="N145" s="13">
        <v>0</v>
      </c>
      <c r="O145" s="13">
        <v>0</v>
      </c>
      <c r="P145" s="13">
        <v>0</v>
      </c>
      <c r="Q145" s="13">
        <v>0</v>
      </c>
      <c r="R145" s="13">
        <v>0</v>
      </c>
      <c r="S145" s="13">
        <v>0</v>
      </c>
      <c r="T145" s="13">
        <v>0</v>
      </c>
      <c r="U145" s="13">
        <v>0</v>
      </c>
      <c r="V145" s="13">
        <v>0</v>
      </c>
      <c r="W145" s="13">
        <v>15000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1000</v>
      </c>
      <c r="AS145" s="13">
        <v>0</v>
      </c>
      <c r="AT145" s="13">
        <v>0</v>
      </c>
      <c r="AU145" s="13">
        <v>0</v>
      </c>
      <c r="AV145" s="13">
        <v>0</v>
      </c>
      <c r="AW145" s="13">
        <v>0</v>
      </c>
      <c r="AX145" s="13">
        <v>0</v>
      </c>
      <c r="AY145" s="13">
        <v>0</v>
      </c>
      <c r="AZ145" s="13">
        <v>0</v>
      </c>
      <c r="BA145" s="13">
        <v>0</v>
      </c>
      <c r="BB145" s="13">
        <v>0</v>
      </c>
      <c r="BC145" s="13">
        <v>0</v>
      </c>
      <c r="BD145" s="13">
        <f t="shared" si="57"/>
        <v>56338.05</v>
      </c>
      <c r="BE145" s="13">
        <f t="shared" si="58"/>
        <v>55338.05</v>
      </c>
      <c r="BF145" s="13">
        <f t="shared" si="59"/>
        <v>0</v>
      </c>
      <c r="BG145" s="13">
        <f t="shared" si="60"/>
        <v>1000</v>
      </c>
    </row>
    <row r="146" spans="1:59" x14ac:dyDescent="0.2">
      <c r="C146" s="8">
        <v>494</v>
      </c>
      <c r="D146" s="8" t="s">
        <v>129</v>
      </c>
      <c r="E146" s="13">
        <v>0</v>
      </c>
      <c r="F146" s="13">
        <v>21962.91</v>
      </c>
      <c r="G146" s="13">
        <v>0</v>
      </c>
      <c r="H146" s="13">
        <v>0</v>
      </c>
      <c r="I146" s="13">
        <v>0</v>
      </c>
      <c r="J146" s="13">
        <v>0</v>
      </c>
      <c r="K146" s="13">
        <v>77152.100000000006</v>
      </c>
      <c r="L146" s="13">
        <v>820982</v>
      </c>
      <c r="M146" s="13">
        <v>31236.41</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56246.85</v>
      </c>
      <c r="AL146" s="13">
        <v>0</v>
      </c>
      <c r="AM146" s="13">
        <v>0</v>
      </c>
      <c r="AN146" s="13">
        <v>0</v>
      </c>
      <c r="AO146" s="13">
        <v>34108.15</v>
      </c>
      <c r="AP146" s="13">
        <v>0</v>
      </c>
      <c r="AQ146" s="13">
        <v>0</v>
      </c>
      <c r="AR146" s="13">
        <v>49915.37</v>
      </c>
      <c r="AS146" s="13">
        <v>0</v>
      </c>
      <c r="AT146" s="13">
        <v>0</v>
      </c>
      <c r="AU146" s="13">
        <v>0</v>
      </c>
      <c r="AV146" s="13">
        <v>0</v>
      </c>
      <c r="AW146" s="13">
        <v>7519.65</v>
      </c>
      <c r="AX146" s="13">
        <v>0</v>
      </c>
      <c r="AY146" s="13">
        <v>0</v>
      </c>
      <c r="AZ146" s="13">
        <v>0</v>
      </c>
      <c r="BA146" s="13">
        <v>0</v>
      </c>
      <c r="BB146" s="13">
        <v>0</v>
      </c>
      <c r="BC146" s="13">
        <v>0</v>
      </c>
      <c r="BD146" s="13">
        <f t="shared" si="57"/>
        <v>1099123.44</v>
      </c>
      <c r="BE146" s="13">
        <f t="shared" si="58"/>
        <v>951333.42</v>
      </c>
      <c r="BF146" s="13">
        <f t="shared" si="59"/>
        <v>0</v>
      </c>
      <c r="BG146" s="13">
        <f t="shared" si="60"/>
        <v>147790.01999999999</v>
      </c>
    </row>
    <row r="147" spans="1:59" x14ac:dyDescent="0.2">
      <c r="C147" s="8">
        <v>495</v>
      </c>
      <c r="D147" s="8" t="s">
        <v>187</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f t="shared" si="57"/>
        <v>356</v>
      </c>
      <c r="BE147" s="13">
        <f t="shared" si="58"/>
        <v>356</v>
      </c>
      <c r="BF147" s="13">
        <f t="shared" si="59"/>
        <v>0</v>
      </c>
      <c r="BG147" s="13">
        <f t="shared" si="60"/>
        <v>0</v>
      </c>
    </row>
    <row r="148" spans="1:59" x14ac:dyDescent="0.2">
      <c r="C148" s="8">
        <v>498</v>
      </c>
      <c r="D148" s="8" t="s">
        <v>188</v>
      </c>
      <c r="E148" s="13">
        <v>0</v>
      </c>
      <c r="F148" s="13">
        <v>0</v>
      </c>
      <c r="G148" s="13">
        <v>0</v>
      </c>
      <c r="H148" s="13">
        <v>0</v>
      </c>
      <c r="I148" s="13">
        <v>0</v>
      </c>
      <c r="J148" s="13">
        <v>0</v>
      </c>
      <c r="K148" s="13">
        <v>0</v>
      </c>
      <c r="L148" s="13">
        <v>2417055.0299999998</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f t="shared" si="57"/>
        <v>2417055.0299999998</v>
      </c>
      <c r="BE148" s="13">
        <f t="shared" si="58"/>
        <v>2417055.0299999998</v>
      </c>
      <c r="BF148" s="13">
        <f t="shared" si="59"/>
        <v>0</v>
      </c>
      <c r="BG148" s="13">
        <f t="shared" si="60"/>
        <v>0</v>
      </c>
    </row>
    <row r="149" spans="1:5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7600</v>
      </c>
      <c r="AZ149" s="13">
        <v>0</v>
      </c>
      <c r="BA149" s="13">
        <v>0</v>
      </c>
      <c r="BB149" s="13">
        <v>0</v>
      </c>
      <c r="BC149" s="13">
        <v>0</v>
      </c>
      <c r="BD149" s="13">
        <f t="shared" si="57"/>
        <v>10600</v>
      </c>
      <c r="BE149" s="13">
        <f t="shared" si="58"/>
        <v>3000</v>
      </c>
      <c r="BF149" s="13">
        <f t="shared" si="59"/>
        <v>0</v>
      </c>
      <c r="BG149" s="13">
        <f t="shared" si="60"/>
        <v>7600</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145">
        <f>E155+E156</f>
        <v>297580.15000000002</v>
      </c>
      <c r="F154" s="145">
        <f t="shared" ref="F154:BG154" si="61">F155+F156</f>
        <v>166436.57</v>
      </c>
      <c r="G154" s="145">
        <f t="shared" si="61"/>
        <v>111420.26999999999</v>
      </c>
      <c r="H154" s="145">
        <f t="shared" si="61"/>
        <v>123375.72999999998</v>
      </c>
      <c r="I154" s="145">
        <f t="shared" si="61"/>
        <v>157637.65</v>
      </c>
      <c r="J154" s="145">
        <f t="shared" si="61"/>
        <v>276986.37</v>
      </c>
      <c r="K154" s="145">
        <f t="shared" si="61"/>
        <v>44346.45</v>
      </c>
      <c r="L154" s="145">
        <f t="shared" si="61"/>
        <v>-917826.7100000002</v>
      </c>
      <c r="M154" s="145">
        <f t="shared" si="61"/>
        <v>236485.23</v>
      </c>
      <c r="N154" s="145">
        <f t="shared" si="61"/>
        <v>-10368.879999999999</v>
      </c>
      <c r="O154" s="145">
        <f t="shared" si="61"/>
        <v>-386596.60000000003</v>
      </c>
      <c r="P154" s="145">
        <f t="shared" si="61"/>
        <v>194677.5</v>
      </c>
      <c r="Q154" s="145">
        <f t="shared" si="61"/>
        <v>-15844.460000000003</v>
      </c>
      <c r="R154" s="145">
        <f t="shared" si="61"/>
        <v>2715.8899999999994</v>
      </c>
      <c r="S154" s="145">
        <f t="shared" si="61"/>
        <v>-63378.66</v>
      </c>
      <c r="T154" s="145">
        <f t="shared" si="61"/>
        <v>119770.75</v>
      </c>
      <c r="U154" s="145">
        <f t="shared" si="61"/>
        <v>28612.840000000004</v>
      </c>
      <c r="V154" s="145">
        <f t="shared" si="61"/>
        <v>53215.43</v>
      </c>
      <c r="W154" s="145">
        <f t="shared" si="61"/>
        <v>168872.27</v>
      </c>
      <c r="X154" s="145">
        <f t="shared" si="61"/>
        <v>59136.47</v>
      </c>
      <c r="Y154" s="145">
        <f t="shared" si="61"/>
        <v>1087112.6300000001</v>
      </c>
      <c r="Z154" s="145">
        <f t="shared" si="61"/>
        <v>2677168.89</v>
      </c>
      <c r="AA154" s="145">
        <f t="shared" si="61"/>
        <v>15628.250000000002</v>
      </c>
      <c r="AB154" s="145">
        <f t="shared" si="61"/>
        <v>-260378.03</v>
      </c>
      <c r="AC154" s="145">
        <f t="shared" si="61"/>
        <v>11165.65</v>
      </c>
      <c r="AD154" s="145">
        <f t="shared" si="61"/>
        <v>-16548.329999999998</v>
      </c>
      <c r="AE154" s="145">
        <f t="shared" si="61"/>
        <v>78627.399999999994</v>
      </c>
      <c r="AF154" s="145">
        <f t="shared" si="61"/>
        <v>1738725.46</v>
      </c>
      <c r="AG154" s="145">
        <f t="shared" si="61"/>
        <v>577199.21</v>
      </c>
      <c r="AH154" s="145">
        <f t="shared" si="61"/>
        <v>46554.49</v>
      </c>
      <c r="AI154" s="145">
        <f t="shared" si="61"/>
        <v>105014.54</v>
      </c>
      <c r="AJ154" s="145">
        <f t="shared" si="61"/>
        <v>277222.27</v>
      </c>
      <c r="AK154" s="145">
        <f t="shared" si="61"/>
        <v>18943.25</v>
      </c>
      <c r="AL154" s="145">
        <f t="shared" si="61"/>
        <v>73198</v>
      </c>
      <c r="AM154" s="145">
        <f t="shared" si="61"/>
        <v>-27239.480000000003</v>
      </c>
      <c r="AN154" s="145">
        <f t="shared" si="61"/>
        <v>16790.869999999995</v>
      </c>
      <c r="AO154" s="145">
        <f t="shared" si="61"/>
        <v>-467314.68</v>
      </c>
      <c r="AP154" s="145">
        <f t="shared" si="61"/>
        <v>56336</v>
      </c>
      <c r="AQ154" s="145">
        <f t="shared" si="61"/>
        <v>113170.76</v>
      </c>
      <c r="AR154" s="145">
        <f t="shared" si="61"/>
        <v>-171344.34</v>
      </c>
      <c r="AS154" s="145">
        <f t="shared" si="61"/>
        <v>52413.51999999999</v>
      </c>
      <c r="AT154" s="145">
        <f t="shared" si="61"/>
        <v>277298.86000000004</v>
      </c>
      <c r="AU154" s="145">
        <f t="shared" si="61"/>
        <v>-160977.5</v>
      </c>
      <c r="AV154" s="145">
        <f t="shared" si="61"/>
        <v>44645.22</v>
      </c>
      <c r="AW154" s="145">
        <f t="shared" si="61"/>
        <v>435217.72000000003</v>
      </c>
      <c r="AX154" s="145">
        <f t="shared" si="61"/>
        <v>-28207.760000000002</v>
      </c>
      <c r="AY154" s="145">
        <f t="shared" si="61"/>
        <v>77645.3</v>
      </c>
      <c r="AZ154" s="145">
        <f t="shared" si="61"/>
        <v>6331.16</v>
      </c>
      <c r="BA154" s="145">
        <f t="shared" si="61"/>
        <v>56246.89</v>
      </c>
      <c r="BB154" s="145">
        <f t="shared" si="61"/>
        <v>-162273.97999999998</v>
      </c>
      <c r="BC154" s="145">
        <f t="shared" si="61"/>
        <v>108852.26999999999</v>
      </c>
      <c r="BD154" s="145">
        <f t="shared" si="61"/>
        <v>7304478.7700000005</v>
      </c>
      <c r="BE154" s="145">
        <f t="shared" si="61"/>
        <v>588117.79</v>
      </c>
      <c r="BF154" s="145">
        <f t="shared" si="61"/>
        <v>6119406.6300000008</v>
      </c>
      <c r="BG154" s="145">
        <f t="shared" si="61"/>
        <v>596954.35</v>
      </c>
    </row>
    <row r="155" spans="1:59" x14ac:dyDescent="0.2">
      <c r="C155" s="8">
        <v>900</v>
      </c>
      <c r="D155" s="8" t="s">
        <v>192</v>
      </c>
      <c r="E155" s="19">
        <v>23179.87</v>
      </c>
      <c r="F155" s="19">
        <v>114823.3</v>
      </c>
      <c r="G155" s="19">
        <v>51061.06</v>
      </c>
      <c r="H155" s="19">
        <v>-62293.63</v>
      </c>
      <c r="I155" s="19">
        <v>33918.5</v>
      </c>
      <c r="J155" s="19">
        <v>490967.6</v>
      </c>
      <c r="K155" s="19">
        <v>15593.4</v>
      </c>
      <c r="L155" s="19">
        <v>-2174361.6000000001</v>
      </c>
      <c r="M155" s="19">
        <v>30502.48</v>
      </c>
      <c r="N155" s="19">
        <v>-15903.22</v>
      </c>
      <c r="O155" s="19">
        <v>-610295.42000000004</v>
      </c>
      <c r="P155" s="19">
        <v>129779.38</v>
      </c>
      <c r="Q155" s="19">
        <v>-40694.730000000003</v>
      </c>
      <c r="R155" s="19">
        <v>50997.63</v>
      </c>
      <c r="S155" s="19">
        <v>-37329.83</v>
      </c>
      <c r="T155" s="19">
        <v>60782.33</v>
      </c>
      <c r="U155" s="19">
        <v>9611.35</v>
      </c>
      <c r="V155" s="19">
        <v>25754.84</v>
      </c>
      <c r="W155" s="19">
        <v>57003.82</v>
      </c>
      <c r="X155" s="19">
        <v>43384.87</v>
      </c>
      <c r="Y155" s="19">
        <v>935477.29</v>
      </c>
      <c r="Z155" s="19">
        <v>2357312.52</v>
      </c>
      <c r="AA155" s="19">
        <v>-8997.33</v>
      </c>
      <c r="AB155" s="19">
        <v>0</v>
      </c>
      <c r="AC155" s="19">
        <v>3071.68</v>
      </c>
      <c r="AD155" s="19">
        <v>1023.72</v>
      </c>
      <c r="AE155" s="19">
        <v>49294.34</v>
      </c>
      <c r="AF155" s="19">
        <v>1399806.94</v>
      </c>
      <c r="AG155" s="19">
        <v>217683.4</v>
      </c>
      <c r="AH155" s="19">
        <v>1520.35</v>
      </c>
      <c r="AI155" s="19">
        <v>4424.6499999999996</v>
      </c>
      <c r="AJ155" s="19">
        <v>53241</v>
      </c>
      <c r="AK155" s="19">
        <v>20312.21</v>
      </c>
      <c r="AL155" s="19">
        <v>46649.919999999998</v>
      </c>
      <c r="AM155" s="19">
        <v>13050.46</v>
      </c>
      <c r="AN155" s="19">
        <v>116926.76</v>
      </c>
      <c r="AO155" s="19">
        <v>-470965.71</v>
      </c>
      <c r="AP155" s="19">
        <v>57276.38</v>
      </c>
      <c r="AQ155" s="19">
        <v>3214.53</v>
      </c>
      <c r="AR155" s="19">
        <v>-69298.039999999994</v>
      </c>
      <c r="AS155" s="19">
        <v>69833.289999999994</v>
      </c>
      <c r="AT155" s="19">
        <v>272506.28000000003</v>
      </c>
      <c r="AU155" s="19">
        <v>-141893.21</v>
      </c>
      <c r="AV155" s="19">
        <v>3493.65</v>
      </c>
      <c r="AW155" s="19">
        <v>375240.59</v>
      </c>
      <c r="AX155" s="19">
        <v>-55185.51</v>
      </c>
      <c r="AY155" s="19">
        <v>35960.61</v>
      </c>
      <c r="AZ155" s="20">
        <v>2149.66</v>
      </c>
      <c r="BA155" s="19">
        <v>23950.09</v>
      </c>
      <c r="BB155" s="19">
        <v>-428001.87</v>
      </c>
      <c r="BC155" s="19">
        <v>107918.37</v>
      </c>
      <c r="BD155" s="19">
        <f>SUM(E155:BC155)</f>
        <v>3193479.0199999996</v>
      </c>
      <c r="BE155" s="19">
        <f>SUM(E155:W155)</f>
        <v>-1846902.87</v>
      </c>
      <c r="BF155" s="19">
        <f>SUM(X155:AI155)</f>
        <v>5004002.4300000006</v>
      </c>
      <c r="BG155" s="19">
        <f>SUM(AJ155:BC155)</f>
        <v>36379.459999999963</v>
      </c>
    </row>
    <row r="156" spans="1:59" x14ac:dyDescent="0.2">
      <c r="C156" s="8">
        <v>901</v>
      </c>
      <c r="D156" s="8" t="s">
        <v>193</v>
      </c>
      <c r="E156" s="19">
        <v>274400.28000000003</v>
      </c>
      <c r="F156" s="19">
        <v>51613.27</v>
      </c>
      <c r="G156" s="19">
        <v>60359.21</v>
      </c>
      <c r="H156" s="19">
        <v>185669.36</v>
      </c>
      <c r="I156" s="19">
        <v>123719.15</v>
      </c>
      <c r="J156" s="19">
        <v>-213981.23</v>
      </c>
      <c r="K156" s="19">
        <v>28753.05</v>
      </c>
      <c r="L156" s="19">
        <v>1256534.8899999999</v>
      </c>
      <c r="M156" s="19">
        <v>205982.75</v>
      </c>
      <c r="N156" s="19">
        <v>5534.34</v>
      </c>
      <c r="O156" s="19">
        <v>223698.82</v>
      </c>
      <c r="P156" s="19">
        <v>64898.12</v>
      </c>
      <c r="Q156" s="19">
        <v>24850.27</v>
      </c>
      <c r="R156" s="19">
        <v>-48281.74</v>
      </c>
      <c r="S156" s="19">
        <v>-26048.83</v>
      </c>
      <c r="T156" s="19">
        <v>58988.42</v>
      </c>
      <c r="U156" s="19">
        <v>19001.490000000002</v>
      </c>
      <c r="V156" s="19">
        <v>27460.59</v>
      </c>
      <c r="W156" s="19">
        <v>111868.45</v>
      </c>
      <c r="X156" s="19">
        <v>15751.6</v>
      </c>
      <c r="Y156" s="19">
        <v>151635.34</v>
      </c>
      <c r="Z156" s="19">
        <v>319856.37</v>
      </c>
      <c r="AA156" s="19">
        <v>24625.58</v>
      </c>
      <c r="AB156" s="19">
        <v>-260378.03</v>
      </c>
      <c r="AC156" s="19">
        <v>8093.97</v>
      </c>
      <c r="AD156" s="19">
        <v>-17572.05</v>
      </c>
      <c r="AE156" s="19">
        <v>29333.06</v>
      </c>
      <c r="AF156" s="19">
        <v>338918.52</v>
      </c>
      <c r="AG156" s="19">
        <v>359515.81</v>
      </c>
      <c r="AH156" s="19">
        <v>45034.14</v>
      </c>
      <c r="AI156" s="19">
        <v>100589.89</v>
      </c>
      <c r="AJ156" s="19">
        <v>223981.27</v>
      </c>
      <c r="AK156" s="19">
        <v>-1368.96</v>
      </c>
      <c r="AL156" s="19">
        <v>26548.080000000002</v>
      </c>
      <c r="AM156" s="19">
        <v>-40289.94</v>
      </c>
      <c r="AN156" s="19">
        <v>-100135.89</v>
      </c>
      <c r="AO156" s="19">
        <v>3651.03</v>
      </c>
      <c r="AP156" s="19">
        <v>-940.38</v>
      </c>
      <c r="AQ156" s="19">
        <v>109956.23</v>
      </c>
      <c r="AR156" s="19">
        <v>-102046.3</v>
      </c>
      <c r="AS156" s="19">
        <v>-17419.77</v>
      </c>
      <c r="AT156" s="19">
        <v>4792.58</v>
      </c>
      <c r="AU156" s="19">
        <v>-19084.29</v>
      </c>
      <c r="AV156" s="19">
        <v>41151.57</v>
      </c>
      <c r="AW156" s="19">
        <v>59977.13</v>
      </c>
      <c r="AX156" s="19">
        <v>26977.75</v>
      </c>
      <c r="AY156" s="19">
        <v>41684.69</v>
      </c>
      <c r="AZ156" s="19">
        <v>4181.5</v>
      </c>
      <c r="BA156" s="19">
        <v>32296.799999999999</v>
      </c>
      <c r="BB156" s="19">
        <v>265727.89</v>
      </c>
      <c r="BC156" s="19">
        <v>933.9</v>
      </c>
      <c r="BD156" s="19">
        <f>SUM(E156:BC156)</f>
        <v>4110999.7500000009</v>
      </c>
      <c r="BE156" s="19">
        <f>SUM(E156:W156)</f>
        <v>2435020.66</v>
      </c>
      <c r="BF156" s="19">
        <f>SUM(X156:AI156)</f>
        <v>1115404.2000000002</v>
      </c>
      <c r="BG156" s="19">
        <f>SUM(AJ156:BC156)</f>
        <v>560574.89</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2">
        <f>E155+E156</f>
        <v>297580.15000000002</v>
      </c>
      <c r="F158" s="82">
        <f t="shared" ref="F158:BG158" si="62">F155+F156</f>
        <v>166436.57</v>
      </c>
      <c r="G158" s="82">
        <f t="shared" si="62"/>
        <v>111420.26999999999</v>
      </c>
      <c r="H158" s="82">
        <f t="shared" si="62"/>
        <v>123375.72999999998</v>
      </c>
      <c r="I158" s="82">
        <f t="shared" si="62"/>
        <v>157637.65</v>
      </c>
      <c r="J158" s="82">
        <f t="shared" si="62"/>
        <v>276986.37</v>
      </c>
      <c r="K158" s="82">
        <f t="shared" si="62"/>
        <v>44346.45</v>
      </c>
      <c r="L158" s="82">
        <f t="shared" si="62"/>
        <v>-917826.7100000002</v>
      </c>
      <c r="M158" s="82">
        <f t="shared" si="62"/>
        <v>236485.23</v>
      </c>
      <c r="N158" s="82">
        <f t="shared" si="62"/>
        <v>-10368.879999999999</v>
      </c>
      <c r="O158" s="82">
        <f t="shared" si="62"/>
        <v>-386596.60000000003</v>
      </c>
      <c r="P158" s="82">
        <f t="shared" si="62"/>
        <v>194677.5</v>
      </c>
      <c r="Q158" s="82">
        <f t="shared" si="62"/>
        <v>-15844.460000000003</v>
      </c>
      <c r="R158" s="82">
        <f t="shared" si="62"/>
        <v>2715.8899999999994</v>
      </c>
      <c r="S158" s="82">
        <f t="shared" si="62"/>
        <v>-63378.66</v>
      </c>
      <c r="T158" s="82">
        <f t="shared" si="62"/>
        <v>119770.75</v>
      </c>
      <c r="U158" s="82">
        <f t="shared" si="62"/>
        <v>28612.840000000004</v>
      </c>
      <c r="V158" s="82">
        <f t="shared" si="62"/>
        <v>53215.43</v>
      </c>
      <c r="W158" s="82">
        <f t="shared" si="62"/>
        <v>168872.27</v>
      </c>
      <c r="X158" s="82">
        <f t="shared" si="62"/>
        <v>59136.47</v>
      </c>
      <c r="Y158" s="82">
        <f t="shared" si="62"/>
        <v>1087112.6300000001</v>
      </c>
      <c r="Z158" s="82">
        <f t="shared" si="62"/>
        <v>2677168.89</v>
      </c>
      <c r="AA158" s="82">
        <f t="shared" si="62"/>
        <v>15628.250000000002</v>
      </c>
      <c r="AB158" s="82">
        <f t="shared" si="62"/>
        <v>-260378.03</v>
      </c>
      <c r="AC158" s="82">
        <f t="shared" si="62"/>
        <v>11165.65</v>
      </c>
      <c r="AD158" s="82">
        <f t="shared" si="62"/>
        <v>-16548.329999999998</v>
      </c>
      <c r="AE158" s="82">
        <f t="shared" si="62"/>
        <v>78627.399999999994</v>
      </c>
      <c r="AF158" s="82">
        <f t="shared" si="62"/>
        <v>1738725.46</v>
      </c>
      <c r="AG158" s="82">
        <f t="shared" si="62"/>
        <v>577199.21</v>
      </c>
      <c r="AH158" s="82">
        <f t="shared" si="62"/>
        <v>46554.49</v>
      </c>
      <c r="AI158" s="82">
        <f t="shared" si="62"/>
        <v>105014.54</v>
      </c>
      <c r="AJ158" s="82">
        <f t="shared" si="62"/>
        <v>277222.27</v>
      </c>
      <c r="AK158" s="82">
        <f t="shared" si="62"/>
        <v>18943.25</v>
      </c>
      <c r="AL158" s="82">
        <f t="shared" si="62"/>
        <v>73198</v>
      </c>
      <c r="AM158" s="82">
        <f t="shared" si="62"/>
        <v>-27239.480000000003</v>
      </c>
      <c r="AN158" s="82">
        <f t="shared" si="62"/>
        <v>16790.869999999995</v>
      </c>
      <c r="AO158" s="82">
        <f t="shared" si="62"/>
        <v>-467314.68</v>
      </c>
      <c r="AP158" s="82">
        <f t="shared" si="62"/>
        <v>56336</v>
      </c>
      <c r="AQ158" s="82">
        <f t="shared" si="62"/>
        <v>113170.76</v>
      </c>
      <c r="AR158" s="82">
        <f t="shared" si="62"/>
        <v>-171344.34</v>
      </c>
      <c r="AS158" s="82">
        <f t="shared" si="62"/>
        <v>52413.51999999999</v>
      </c>
      <c r="AT158" s="82">
        <f t="shared" si="62"/>
        <v>277298.86000000004</v>
      </c>
      <c r="AU158" s="82">
        <f t="shared" si="62"/>
        <v>-160977.5</v>
      </c>
      <c r="AV158" s="82">
        <f t="shared" si="62"/>
        <v>44645.22</v>
      </c>
      <c r="AW158" s="82">
        <f t="shared" si="62"/>
        <v>435217.72000000003</v>
      </c>
      <c r="AX158" s="82">
        <f t="shared" si="62"/>
        <v>-28207.760000000002</v>
      </c>
      <c r="AY158" s="82">
        <f t="shared" si="62"/>
        <v>77645.3</v>
      </c>
      <c r="AZ158" s="82">
        <f t="shared" si="62"/>
        <v>6331.16</v>
      </c>
      <c r="BA158" s="82">
        <f t="shared" si="62"/>
        <v>56246.89</v>
      </c>
      <c r="BB158" s="82">
        <f t="shared" si="62"/>
        <v>-162273.97999999998</v>
      </c>
      <c r="BC158" s="82">
        <f t="shared" si="62"/>
        <v>108852.26999999999</v>
      </c>
      <c r="BD158" s="82">
        <f t="shared" si="62"/>
        <v>7304478.7700000005</v>
      </c>
      <c r="BE158" s="82">
        <f t="shared" si="62"/>
        <v>588117.79</v>
      </c>
      <c r="BF158" s="82">
        <f t="shared" si="62"/>
        <v>6119406.6300000008</v>
      </c>
      <c r="BG158" s="82">
        <f t="shared" si="62"/>
        <v>596954.35</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ht="15" x14ac:dyDescent="0.25">
      <c r="D160" s="83"/>
      <c r="E160" s="84">
        <f t="shared" ref="E160:AI160" si="63">E76-E5</f>
        <v>297580.15000000037</v>
      </c>
      <c r="F160" s="84">
        <f t="shared" si="63"/>
        <v>166436.57000000007</v>
      </c>
      <c r="G160" s="84">
        <f t="shared" si="63"/>
        <v>111420.26999999979</v>
      </c>
      <c r="H160" s="84">
        <f t="shared" si="63"/>
        <v>123375.73000000045</v>
      </c>
      <c r="I160" s="84">
        <f t="shared" si="63"/>
        <v>157637.65000000224</v>
      </c>
      <c r="J160" s="84">
        <f t="shared" si="63"/>
        <v>276986.37000000104</v>
      </c>
      <c r="K160" s="84">
        <f t="shared" si="63"/>
        <v>44346.45000000298</v>
      </c>
      <c r="L160" s="84">
        <f t="shared" si="63"/>
        <v>-917826.71000000834</v>
      </c>
      <c r="M160" s="84">
        <f t="shared" si="63"/>
        <v>236485.23000000231</v>
      </c>
      <c r="N160" s="84">
        <f t="shared" si="63"/>
        <v>-10368.879999999946</v>
      </c>
      <c r="O160" s="84">
        <f t="shared" si="63"/>
        <v>-386596.59999999776</v>
      </c>
      <c r="P160" s="84">
        <f t="shared" si="63"/>
        <v>194677.49999999977</v>
      </c>
      <c r="Q160" s="84">
        <f t="shared" si="63"/>
        <v>-15844.459999999905</v>
      </c>
      <c r="R160" s="84">
        <f t="shared" si="63"/>
        <v>2715.8900000001304</v>
      </c>
      <c r="S160" s="84">
        <f t="shared" si="63"/>
        <v>-63378.660000000382</v>
      </c>
      <c r="T160" s="84">
        <f t="shared" si="63"/>
        <v>119770.75000000047</v>
      </c>
      <c r="U160" s="84">
        <f t="shared" si="63"/>
        <v>28612.840000000317</v>
      </c>
      <c r="V160" s="84">
        <f t="shared" si="63"/>
        <v>53215.430000000633</v>
      </c>
      <c r="W160" s="84">
        <f t="shared" si="63"/>
        <v>168872.27000000142</v>
      </c>
      <c r="X160" s="84">
        <f t="shared" si="63"/>
        <v>59136.469999999739</v>
      </c>
      <c r="Y160" s="84">
        <f t="shared" si="63"/>
        <v>1087112.6299999999</v>
      </c>
      <c r="Z160" s="84">
        <f t="shared" si="63"/>
        <v>2677168.8899999969</v>
      </c>
      <c r="AA160" s="84">
        <f t="shared" si="63"/>
        <v>15628.249999999884</v>
      </c>
      <c r="AB160" s="84">
        <f t="shared" si="63"/>
        <v>-260378.0299999998</v>
      </c>
      <c r="AC160" s="84">
        <f t="shared" si="63"/>
        <v>11165.64999999851</v>
      </c>
      <c r="AD160" s="84">
        <f t="shared" si="63"/>
        <v>-16548.330000000075</v>
      </c>
      <c r="AE160" s="84">
        <f t="shared" si="63"/>
        <v>78627.400000001304</v>
      </c>
      <c r="AF160" s="84">
        <f t="shared" si="63"/>
        <v>1738725.4600000009</v>
      </c>
      <c r="AG160" s="84">
        <f t="shared" si="63"/>
        <v>577199.21000000276</v>
      </c>
      <c r="AH160" s="84">
        <f t="shared" si="63"/>
        <v>46554.489999999991</v>
      </c>
      <c r="AI160" s="84">
        <f t="shared" si="63"/>
        <v>105014.54000000004</v>
      </c>
      <c r="AJ160" s="84">
        <f t="shared" ref="AJ160:BG160" si="64">AJ76-AJ5</f>
        <v>277222.26999999862</v>
      </c>
      <c r="AK160" s="84">
        <f t="shared" si="64"/>
        <v>18943.25</v>
      </c>
      <c r="AL160" s="84">
        <f t="shared" si="64"/>
        <v>73198.000000000931</v>
      </c>
      <c r="AM160" s="84">
        <f t="shared" si="64"/>
        <v>-27239.479999999981</v>
      </c>
      <c r="AN160" s="84">
        <f t="shared" si="64"/>
        <v>16790.869999995455</v>
      </c>
      <c r="AO160" s="84">
        <f t="shared" si="64"/>
        <v>-467314.6799999997</v>
      </c>
      <c r="AP160" s="84">
        <f t="shared" si="64"/>
        <v>56336.000000000466</v>
      </c>
      <c r="AQ160" s="84">
        <f t="shared" si="64"/>
        <v>113170.75999999978</v>
      </c>
      <c r="AR160" s="84">
        <f t="shared" si="64"/>
        <v>-171344.33999999985</v>
      </c>
      <c r="AS160" s="84">
        <f t="shared" si="64"/>
        <v>52413.519999999553</v>
      </c>
      <c r="AT160" s="84">
        <f t="shared" si="64"/>
        <v>277298.85999999987</v>
      </c>
      <c r="AU160" s="84">
        <f t="shared" si="64"/>
        <v>-160977.49999999814</v>
      </c>
      <c r="AV160" s="84">
        <f t="shared" si="64"/>
        <v>44645.219999999739</v>
      </c>
      <c r="AW160" s="84">
        <f t="shared" si="64"/>
        <v>435217.72</v>
      </c>
      <c r="AX160" s="84">
        <f t="shared" si="64"/>
        <v>-28207.760000000009</v>
      </c>
      <c r="AY160" s="84">
        <f t="shared" si="64"/>
        <v>77645.299999999814</v>
      </c>
      <c r="AZ160" s="84">
        <f t="shared" si="64"/>
        <v>6331.160000000149</v>
      </c>
      <c r="BA160" s="84">
        <f t="shared" si="64"/>
        <v>56246.890000000596</v>
      </c>
      <c r="BB160" s="84">
        <f t="shared" si="64"/>
        <v>-162273.98000000417</v>
      </c>
      <c r="BC160" s="84">
        <f t="shared" si="64"/>
        <v>108852.27000000048</v>
      </c>
      <c r="BD160" s="84">
        <f t="shared" si="64"/>
        <v>7304478.7699999809</v>
      </c>
      <c r="BE160" s="84">
        <f t="shared" si="64"/>
        <v>588117.78999993205</v>
      </c>
      <c r="BF160" s="84">
        <f t="shared" si="64"/>
        <v>6119406.6299999878</v>
      </c>
      <c r="BG160" s="84">
        <f t="shared" si="64"/>
        <v>596954.35000000894</v>
      </c>
    </row>
    <row r="161" spans="1:59" ht="15" x14ac:dyDescent="0.25">
      <c r="D161" s="83" t="s">
        <v>67</v>
      </c>
      <c r="E161" s="24">
        <f t="shared" ref="E161:AI161" si="65">E158-E160</f>
        <v>0</v>
      </c>
      <c r="F161" s="24">
        <f t="shared" si="65"/>
        <v>0</v>
      </c>
      <c r="G161" s="24">
        <f t="shared" si="65"/>
        <v>2.0372681319713593E-10</v>
      </c>
      <c r="H161" s="24">
        <f t="shared" si="65"/>
        <v>-4.6566128730773926E-10</v>
      </c>
      <c r="I161" s="24">
        <f t="shared" si="65"/>
        <v>-2.2409949451684952E-9</v>
      </c>
      <c r="J161" s="24">
        <f t="shared" si="65"/>
        <v>-1.0477378964424133E-9</v>
      </c>
      <c r="K161" s="24">
        <f t="shared" si="65"/>
        <v>-2.9831426218152046E-9</v>
      </c>
      <c r="L161" s="24">
        <f t="shared" si="65"/>
        <v>8.149072527885437E-9</v>
      </c>
      <c r="M161" s="24">
        <f t="shared" si="65"/>
        <v>-2.2992026060819626E-9</v>
      </c>
      <c r="N161" s="24">
        <f t="shared" si="65"/>
        <v>-5.2750692702829838E-11</v>
      </c>
      <c r="O161" s="24">
        <f t="shared" si="65"/>
        <v>-2.2700987756252289E-9</v>
      </c>
      <c r="P161" s="24">
        <f t="shared" si="65"/>
        <v>2.3283064365386963E-10</v>
      </c>
      <c r="Q161" s="24">
        <f t="shared" si="65"/>
        <v>-9.822542779147625E-11</v>
      </c>
      <c r="R161" s="24">
        <f t="shared" si="65"/>
        <v>-1.3096723705530167E-10</v>
      </c>
      <c r="S161" s="24">
        <f t="shared" si="65"/>
        <v>3.7834979593753815E-10</v>
      </c>
      <c r="T161" s="24">
        <f t="shared" si="65"/>
        <v>-4.6566128730773926E-10</v>
      </c>
      <c r="U161" s="24">
        <f t="shared" si="65"/>
        <v>-3.1286617740988731E-10</v>
      </c>
      <c r="V161" s="24">
        <f t="shared" si="65"/>
        <v>-6.3300831243395805E-10</v>
      </c>
      <c r="W161" s="24">
        <f t="shared" si="65"/>
        <v>-1.4260876923799515E-9</v>
      </c>
      <c r="X161" s="24">
        <f t="shared" si="65"/>
        <v>2.6193447411060333E-10</v>
      </c>
      <c r="Y161" s="24">
        <f t="shared" si="65"/>
        <v>0</v>
      </c>
      <c r="Z161" s="24">
        <f t="shared" si="65"/>
        <v>0</v>
      </c>
      <c r="AA161" s="24">
        <f t="shared" si="65"/>
        <v>1.1823431123048067E-10</v>
      </c>
      <c r="AB161" s="24">
        <f t="shared" si="65"/>
        <v>0</v>
      </c>
      <c r="AC161" s="24">
        <f t="shared" si="65"/>
        <v>1.4897523215040565E-9</v>
      </c>
      <c r="AD161" s="24">
        <f t="shared" si="65"/>
        <v>7.6397554948925972E-11</v>
      </c>
      <c r="AE161" s="24">
        <f t="shared" si="65"/>
        <v>-1.3096723705530167E-9</v>
      </c>
      <c r="AF161" s="24">
        <f t="shared" si="65"/>
        <v>0</v>
      </c>
      <c r="AG161" s="24">
        <f t="shared" si="65"/>
        <v>-2.7939677238464355E-9</v>
      </c>
      <c r="AH161" s="24">
        <f t="shared" si="65"/>
        <v>0</v>
      </c>
      <c r="AI161" s="24">
        <f t="shared" si="65"/>
        <v>0</v>
      </c>
      <c r="AJ161" s="24">
        <f t="shared" ref="AJ161:BG161" si="66">AJ158-AJ160</f>
        <v>1.3969838619232178E-9</v>
      </c>
      <c r="AK161" s="24">
        <f t="shared" si="66"/>
        <v>0</v>
      </c>
      <c r="AL161" s="24">
        <f t="shared" si="66"/>
        <v>-9.3132257461547852E-10</v>
      </c>
      <c r="AM161" s="24">
        <f t="shared" si="66"/>
        <v>0</v>
      </c>
      <c r="AN161" s="24">
        <f t="shared" si="66"/>
        <v>4.5401975512504578E-9</v>
      </c>
      <c r="AO161" s="24">
        <f t="shared" si="66"/>
        <v>0</v>
      </c>
      <c r="AP161" s="24">
        <f t="shared" si="66"/>
        <v>-4.6566128730773926E-10</v>
      </c>
      <c r="AQ161" s="24">
        <f t="shared" si="66"/>
        <v>2.1827872842550278E-10</v>
      </c>
      <c r="AR161" s="24">
        <f t="shared" si="66"/>
        <v>0</v>
      </c>
      <c r="AS161" s="24">
        <f t="shared" si="66"/>
        <v>4.3655745685100555E-10</v>
      </c>
      <c r="AT161" s="24">
        <f t="shared" si="66"/>
        <v>0</v>
      </c>
      <c r="AU161" s="24">
        <f t="shared" si="66"/>
        <v>-1.862645149230957E-9</v>
      </c>
      <c r="AV161" s="24">
        <f t="shared" si="66"/>
        <v>2.6193447411060333E-10</v>
      </c>
      <c r="AW161" s="24">
        <f t="shared" si="66"/>
        <v>0</v>
      </c>
      <c r="AX161" s="24">
        <f t="shared" si="66"/>
        <v>0</v>
      </c>
      <c r="AY161" s="24">
        <f t="shared" si="66"/>
        <v>1.8917489796876907E-10</v>
      </c>
      <c r="AZ161" s="24">
        <f t="shared" si="66"/>
        <v>-1.4915713109076023E-10</v>
      </c>
      <c r="BA161" s="24">
        <f t="shared" si="66"/>
        <v>-5.9662852436304092E-10</v>
      </c>
      <c r="BB161" s="24">
        <f t="shared" si="66"/>
        <v>4.1909515857696533E-9</v>
      </c>
      <c r="BC161" s="24">
        <f t="shared" si="66"/>
        <v>-4.9476511776447296E-10</v>
      </c>
      <c r="BD161" s="24">
        <f t="shared" si="66"/>
        <v>1.9557774066925049E-8</v>
      </c>
      <c r="BE161" s="24">
        <f t="shared" si="66"/>
        <v>6.7986547946929932E-8</v>
      </c>
      <c r="BF161" s="24">
        <f t="shared" si="66"/>
        <v>1.3038516044616699E-8</v>
      </c>
      <c r="BG161" s="24">
        <f t="shared" si="66"/>
        <v>-8.9639797806739807E-9</v>
      </c>
    </row>
    <row r="163" spans="1:59" ht="15" x14ac:dyDescent="0.25">
      <c r="D163" s="85" t="s">
        <v>447</v>
      </c>
    </row>
    <row r="164" spans="1:59" x14ac:dyDescent="0.2">
      <c r="C164" s="8">
        <v>4021</v>
      </c>
      <c r="D164" s="8" t="s">
        <v>210</v>
      </c>
      <c r="E164" s="13">
        <v>148011.25</v>
      </c>
      <c r="F164" s="8">
        <v>112494.95</v>
      </c>
      <c r="G164" s="13">
        <v>66169.649999999994</v>
      </c>
      <c r="H164" s="13">
        <v>94785.3</v>
      </c>
      <c r="I164" s="13">
        <v>732570.2</v>
      </c>
      <c r="J164" s="13">
        <v>511793.15</v>
      </c>
      <c r="K164" s="13">
        <v>282875.05</v>
      </c>
      <c r="L164" s="13">
        <v>2972235.15</v>
      </c>
      <c r="M164" s="13">
        <v>242605.5</v>
      </c>
      <c r="N164" s="13">
        <v>12335.25</v>
      </c>
      <c r="O164" s="13">
        <v>1267736</v>
      </c>
      <c r="P164" s="13">
        <v>142505.60000000001</v>
      </c>
      <c r="Q164" s="13">
        <v>21527.1</v>
      </c>
      <c r="R164" s="13">
        <v>82507.600000000006</v>
      </c>
      <c r="S164" s="13">
        <v>74766.649999999994</v>
      </c>
      <c r="T164" s="13">
        <v>115116.3</v>
      </c>
      <c r="U164" s="13">
        <v>43315.85</v>
      </c>
      <c r="V164" s="13">
        <v>101536.95</v>
      </c>
      <c r="W164" s="13">
        <v>588600.94999999995</v>
      </c>
      <c r="X164" s="13">
        <v>59114.7</v>
      </c>
      <c r="Y164" s="13">
        <v>183704.4</v>
      </c>
      <c r="Z164" s="13">
        <v>271739.59999999998</v>
      </c>
      <c r="AA164" s="13">
        <v>40271.15</v>
      </c>
      <c r="AB164" s="13">
        <v>94246.7</v>
      </c>
      <c r="AC164" s="13">
        <v>191185.65</v>
      </c>
      <c r="AD164" s="13">
        <v>134105.95000000001</v>
      </c>
      <c r="AE164" s="13">
        <v>152432.95000000001</v>
      </c>
      <c r="AF164" s="13">
        <v>465830</v>
      </c>
      <c r="AG164" s="13">
        <v>508020.05</v>
      </c>
      <c r="AH164" s="13">
        <v>36351.15</v>
      </c>
      <c r="AI164" s="13">
        <v>66729.149999999994</v>
      </c>
      <c r="AJ164" s="13">
        <v>470853.65</v>
      </c>
      <c r="AK164" s="13">
        <v>300259.84999999998</v>
      </c>
      <c r="AL164" s="13">
        <v>253504.45</v>
      </c>
      <c r="AM164" s="13">
        <v>26504.1</v>
      </c>
      <c r="AN164" s="13">
        <v>282376.96999999997</v>
      </c>
      <c r="AO164" s="13">
        <v>145390.6</v>
      </c>
      <c r="AP164" s="13">
        <v>112628.7</v>
      </c>
      <c r="AQ164" s="13">
        <v>381738</v>
      </c>
      <c r="AR164" s="13">
        <v>186728.05</v>
      </c>
      <c r="AS164" s="13">
        <v>201961</v>
      </c>
      <c r="AT164" s="13">
        <v>47476.95</v>
      </c>
      <c r="AU164" s="13">
        <v>556757.25</v>
      </c>
      <c r="AV164" s="13">
        <v>195559.45</v>
      </c>
      <c r="AW164" s="13">
        <v>93589.55</v>
      </c>
      <c r="AX164" s="13">
        <v>90121.919999999998</v>
      </c>
      <c r="AY164" s="13">
        <v>346049.6</v>
      </c>
      <c r="AZ164" s="13">
        <v>120983</v>
      </c>
      <c r="BA164" s="13">
        <v>289193.03999999998</v>
      </c>
      <c r="BB164" s="13">
        <v>1739356.95</v>
      </c>
      <c r="BC164" s="13">
        <v>124355.95</v>
      </c>
      <c r="BD164" s="13">
        <f>SUM(E164:BC164)</f>
        <v>15782608.929999996</v>
      </c>
      <c r="BE164" s="13">
        <f>SUM(E164:W164)</f>
        <v>7613488.4499999993</v>
      </c>
      <c r="BF164" s="13">
        <f>SUM(X164:AI164)</f>
        <v>2203731.4499999997</v>
      </c>
      <c r="BG164" s="13">
        <f>SUM(AJ164:BC164)</f>
        <v>5965389.0300000003</v>
      </c>
    </row>
    <row r="165" spans="1:59" x14ac:dyDescent="0.2">
      <c r="C165" s="8">
        <v>4490</v>
      </c>
      <c r="D165" s="8" t="s">
        <v>211</v>
      </c>
      <c r="E165" s="13">
        <v>0</v>
      </c>
      <c r="F165" s="13">
        <v>0</v>
      </c>
      <c r="G165" s="13">
        <v>0</v>
      </c>
      <c r="H165" s="13">
        <v>0</v>
      </c>
      <c r="I165" s="13">
        <v>0</v>
      </c>
      <c r="J165" s="13">
        <v>0</v>
      </c>
      <c r="K165" s="13">
        <v>0</v>
      </c>
      <c r="L165" s="13">
        <v>0</v>
      </c>
      <c r="M165" s="13">
        <v>0</v>
      </c>
      <c r="N165" s="13">
        <v>0</v>
      </c>
      <c r="O165" s="13">
        <v>1566.5</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31.87</v>
      </c>
      <c r="AG165" s="13">
        <v>0</v>
      </c>
      <c r="AH165" s="13">
        <v>0</v>
      </c>
      <c r="AI165" s="13">
        <v>6920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f>SUM(E165:BC165)</f>
        <v>8518.369999999999</v>
      </c>
      <c r="BE165" s="13">
        <f>SUM(E165:W165)</f>
        <v>1566.5</v>
      </c>
      <c r="BF165" s="13">
        <f>SUM(X165:AI165)</f>
        <v>6951.87</v>
      </c>
      <c r="BG165" s="13">
        <f>SUM(AJ165:BC165)</f>
        <v>0</v>
      </c>
    </row>
    <row r="166" spans="1:59" x14ac:dyDescent="0.2">
      <c r="A166" s="8">
        <v>4</v>
      </c>
      <c r="B166" s="8">
        <v>40</v>
      </c>
      <c r="C166" s="8">
        <v>40330</v>
      </c>
      <c r="D166" s="8" t="s">
        <v>723</v>
      </c>
      <c r="E166" s="13">
        <v>8145.65</v>
      </c>
      <c r="F166" s="13">
        <v>3400</v>
      </c>
      <c r="G166" s="13">
        <v>4260</v>
      </c>
      <c r="H166" s="13">
        <v>2860</v>
      </c>
      <c r="I166" s="13">
        <v>23920</v>
      </c>
      <c r="J166" s="13">
        <v>20815</v>
      </c>
      <c r="K166" s="13">
        <v>21178</v>
      </c>
      <c r="L166" s="13">
        <v>69120</v>
      </c>
      <c r="M166" s="13">
        <v>5830</v>
      </c>
      <c r="N166" s="13">
        <v>1920</v>
      </c>
      <c r="O166" s="13">
        <v>54320</v>
      </c>
      <c r="P166" s="13">
        <v>4060</v>
      </c>
      <c r="Q166" s="13">
        <v>300</v>
      </c>
      <c r="R166" s="13">
        <v>3923.2</v>
      </c>
      <c r="S166" s="13">
        <v>2515.0500000000002</v>
      </c>
      <c r="T166" s="13">
        <v>3780</v>
      </c>
      <c r="U166" s="13">
        <v>3440</v>
      </c>
      <c r="V166" s="13">
        <v>4270</v>
      </c>
      <c r="W166" s="13">
        <v>21660</v>
      </c>
      <c r="X166" s="13">
        <v>3230</v>
      </c>
      <c r="Y166" s="13">
        <v>9930</v>
      </c>
      <c r="Z166" s="13">
        <v>9370.5</v>
      </c>
      <c r="AA166" s="13">
        <v>1350</v>
      </c>
      <c r="AB166" s="13">
        <v>5280</v>
      </c>
      <c r="AC166" s="13">
        <v>6660</v>
      </c>
      <c r="AD166" s="13">
        <v>4040</v>
      </c>
      <c r="AE166" s="13">
        <v>3960</v>
      </c>
      <c r="AF166" s="13">
        <v>10850</v>
      </c>
      <c r="AG166" s="13">
        <v>17380</v>
      </c>
      <c r="AH166" s="13">
        <v>2840</v>
      </c>
      <c r="AI166" s="13">
        <v>1400</v>
      </c>
      <c r="AJ166" s="13">
        <v>9950</v>
      </c>
      <c r="AK166" s="13">
        <v>16550</v>
      </c>
      <c r="AL166" s="13">
        <v>7560</v>
      </c>
      <c r="AM166" s="13">
        <v>1480</v>
      </c>
      <c r="AN166" s="13">
        <v>1500</v>
      </c>
      <c r="AO166" s="13">
        <v>5400</v>
      </c>
      <c r="AP166" s="13">
        <v>4410</v>
      </c>
      <c r="AQ166" s="13">
        <v>10800</v>
      </c>
      <c r="AR166" s="13">
        <v>5990</v>
      </c>
      <c r="AS166" s="13">
        <v>14140</v>
      </c>
      <c r="AT166" s="13">
        <v>3050</v>
      </c>
      <c r="AU166" s="13">
        <v>12205</v>
      </c>
      <c r="AV166" s="13">
        <v>4700</v>
      </c>
      <c r="AW166" s="13">
        <v>1983.15</v>
      </c>
      <c r="AX166" s="13">
        <v>5220</v>
      </c>
      <c r="AY166" s="13">
        <v>12600</v>
      </c>
      <c r="AZ166" s="13">
        <v>4500</v>
      </c>
      <c r="BA166" s="13">
        <v>15260</v>
      </c>
      <c r="BB166" s="13">
        <v>40200</v>
      </c>
      <c r="BC166" s="13">
        <v>4950</v>
      </c>
      <c r="BD166" s="13">
        <f>SUM(E166:BC166)</f>
        <v>518455.55000000005</v>
      </c>
      <c r="BE166" s="13">
        <f>SUM(E166:W166)</f>
        <v>259716.9</v>
      </c>
      <c r="BF166" s="13">
        <f>SUM(X166:AI166)</f>
        <v>76290.5</v>
      </c>
      <c r="BG166" s="13">
        <f>SUM(AJ166:BC166)</f>
        <v>182448.15</v>
      </c>
    </row>
    <row r="167" spans="1:59"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row>
    <row r="168" spans="1:59" x14ac:dyDescent="0.2">
      <c r="C168" s="8" t="s">
        <v>578</v>
      </c>
      <c r="D168" s="8" t="s">
        <v>217</v>
      </c>
      <c r="E168" s="13">
        <f>'6.1 Investissements'!E183</f>
        <v>1508805.74</v>
      </c>
      <c r="F168" s="13">
        <f>'6.1 Investissements'!F183</f>
        <v>65959.149999999994</v>
      </c>
      <c r="G168" s="13">
        <f>'6.1 Investissements'!G183</f>
        <v>39456.93</v>
      </c>
      <c r="H168" s="13">
        <f>'6.1 Investissements'!H183</f>
        <v>41883.599999999999</v>
      </c>
      <c r="I168" s="13">
        <f>'6.1 Investissements'!I183</f>
        <v>5721379.6399999997</v>
      </c>
      <c r="J168" s="13">
        <f>'6.1 Investissements'!J183</f>
        <v>866976.8</v>
      </c>
      <c r="K168" s="13">
        <f>'6.1 Investissements'!K183</f>
        <v>1491651.07</v>
      </c>
      <c r="L168" s="13">
        <f>'6.1 Investissements'!L183</f>
        <v>11201579.889999999</v>
      </c>
      <c r="M168" s="13">
        <f>'6.1 Investissements'!M183</f>
        <v>682845.09999999963</v>
      </c>
      <c r="N168" s="13">
        <f>'6.1 Investissements'!N183</f>
        <v>41267.75</v>
      </c>
      <c r="O168" s="13">
        <f>'6.1 Investissements'!O183</f>
        <v>3330656.419999999</v>
      </c>
      <c r="P168" s="13">
        <f>'6.1 Investissements'!P183</f>
        <v>81241.62000000001</v>
      </c>
      <c r="Q168" s="13">
        <f>'6.1 Investissements'!Q183</f>
        <v>26121.05</v>
      </c>
      <c r="R168" s="13">
        <f>'6.1 Investissements'!R183</f>
        <v>445739.03</v>
      </c>
      <c r="S168" s="13">
        <f>'6.1 Investissements'!S183</f>
        <v>18747.150000000001</v>
      </c>
      <c r="T168" s="13">
        <f>'6.1 Investissements'!T183</f>
        <v>33674.75</v>
      </c>
      <c r="U168" s="13">
        <f>'6.1 Investissements'!U183</f>
        <v>98779.16</v>
      </c>
      <c r="V168" s="13">
        <f>'6.1 Investissements'!V183</f>
        <v>13524.55</v>
      </c>
      <c r="W168" s="13">
        <f>'6.1 Investissements'!W183</f>
        <v>1163413.3800000001</v>
      </c>
      <c r="X168" s="13">
        <f>'6.1 Investissements'!X183</f>
        <v>85627.799999999988</v>
      </c>
      <c r="Y168" s="13">
        <f>'6.1 Investissements'!Y183</f>
        <v>352557.65</v>
      </c>
      <c r="Z168" s="13">
        <f>'6.1 Investissements'!Z183</f>
        <v>1561611.65</v>
      </c>
      <c r="AA168" s="13">
        <f>'6.1 Investissements'!AA183</f>
        <v>-68524.050000000017</v>
      </c>
      <c r="AB168" s="13">
        <f>'6.1 Investissements'!AB183</f>
        <v>85578.1</v>
      </c>
      <c r="AC168" s="13">
        <f>'6.1 Investissements'!AC183</f>
        <v>215265.96999999997</v>
      </c>
      <c r="AD168" s="13">
        <f>'6.1 Investissements'!AD183</f>
        <v>184251.40000000002</v>
      </c>
      <c r="AE168" s="13">
        <f>'6.1 Investissements'!AE183</f>
        <v>124541.95000000001</v>
      </c>
      <c r="AF168" s="13">
        <f>'6.1 Investissements'!AF183</f>
        <v>2068126.7599999998</v>
      </c>
      <c r="AG168" s="13">
        <f>'6.1 Investissements'!AG183</f>
        <v>722115.59000000008</v>
      </c>
      <c r="AH168" s="13">
        <f>'6.1 Investissements'!AH183</f>
        <v>224564.91</v>
      </c>
      <c r="AI168" s="13">
        <f>'6.1 Investissements'!AI183</f>
        <v>277018.05000000005</v>
      </c>
      <c r="AJ168" s="13">
        <f>'6.1 Investissements'!AJ183</f>
        <v>583594.04999999993</v>
      </c>
      <c r="AK168" s="13">
        <f>'6.1 Investissements'!AK183</f>
        <v>49521.5</v>
      </c>
      <c r="AL168" s="13">
        <f>'6.1 Investissements'!AL183</f>
        <v>1161246.8700000001</v>
      </c>
      <c r="AM168" s="13">
        <f>'6.1 Investissements'!AM183</f>
        <v>29611.8</v>
      </c>
      <c r="AN168" s="13">
        <f>'6.1 Investissements'!AN183</f>
        <v>1155531.9999999998</v>
      </c>
      <c r="AO168" s="13">
        <f>'6.1 Investissements'!AO183</f>
        <v>94040.65</v>
      </c>
      <c r="AP168" s="13">
        <f>'6.1 Investissements'!AP183</f>
        <v>604605.81999999995</v>
      </c>
      <c r="AQ168" s="13">
        <f>'6.1 Investissements'!AQ183</f>
        <v>-321542.34999999986</v>
      </c>
      <c r="AR168" s="13">
        <f>'6.1 Investissements'!AR183</f>
        <v>354466.1</v>
      </c>
      <c r="AS168" s="13">
        <f>'6.1 Investissements'!AS183</f>
        <v>205739.55000000002</v>
      </c>
      <c r="AT168" s="13">
        <f>'6.1 Investissements'!AT183</f>
        <v>307820.15000000002</v>
      </c>
      <c r="AU168" s="13">
        <f>'6.1 Investissements'!AU183</f>
        <v>2361274.0500000003</v>
      </c>
      <c r="AV168" s="13">
        <f>'6.1 Investissements'!AV183</f>
        <v>418612.26</v>
      </c>
      <c r="AW168" s="13">
        <f>'6.1 Investissements'!AW183</f>
        <v>105702.05</v>
      </c>
      <c r="AX168" s="13">
        <f>'6.1 Investissements'!AX183</f>
        <v>55879.7</v>
      </c>
      <c r="AY168" s="13">
        <f>'6.1 Investissements'!AY183</f>
        <v>655099.80000000005</v>
      </c>
      <c r="AZ168" s="13">
        <f>'6.1 Investissements'!AZ183</f>
        <v>330552.98</v>
      </c>
      <c r="BA168" s="13">
        <f>'6.1 Investissements'!BA183</f>
        <v>313907.15000000002</v>
      </c>
      <c r="BB168" s="13">
        <f>'6.1 Investissements'!BB183</f>
        <v>4082311.36</v>
      </c>
      <c r="BC168" s="13">
        <f>'6.1 Investissements'!BC183</f>
        <v>530179.6</v>
      </c>
      <c r="BD168" s="13">
        <f>'6.1 Investissements'!BD183</f>
        <v>45784593.650000006</v>
      </c>
      <c r="BE168" s="13">
        <f>'6.1 Investissements'!BE183</f>
        <v>26873702.780000005</v>
      </c>
      <c r="BF168" s="13">
        <f>'6.1 Investissements'!BF183</f>
        <v>5832735.7800000003</v>
      </c>
      <c r="BG168" s="13">
        <f>'6.1 Investissements'!BG183</f>
        <v>13078155.090000002</v>
      </c>
    </row>
    <row r="169" spans="1:59" x14ac:dyDescent="0.2">
      <c r="M169" s="13"/>
    </row>
    <row r="170" spans="1:59" x14ac:dyDescent="0.2">
      <c r="D170" s="86" t="s">
        <v>233</v>
      </c>
      <c r="E170" s="20">
        <f>E65-E141</f>
        <v>0</v>
      </c>
      <c r="F170" s="20">
        <f t="shared" ref="F170:BG170" si="67">F65-F141</f>
        <v>0</v>
      </c>
      <c r="G170" s="20">
        <f t="shared" si="67"/>
        <v>0</v>
      </c>
      <c r="H170" s="20">
        <f t="shared" si="67"/>
        <v>0</v>
      </c>
      <c r="I170" s="87">
        <f t="shared" si="67"/>
        <v>0</v>
      </c>
      <c r="J170" s="20">
        <f t="shared" si="67"/>
        <v>0</v>
      </c>
      <c r="K170" s="87">
        <f t="shared" si="67"/>
        <v>0</v>
      </c>
      <c r="L170" s="20">
        <f t="shared" si="67"/>
        <v>0</v>
      </c>
      <c r="M170" s="20">
        <f t="shared" si="67"/>
        <v>0</v>
      </c>
      <c r="N170" s="20">
        <f t="shared" si="67"/>
        <v>-9236.35</v>
      </c>
      <c r="O170" s="20">
        <f t="shared" si="67"/>
        <v>0</v>
      </c>
      <c r="P170" s="87">
        <f t="shared" si="67"/>
        <v>0</v>
      </c>
      <c r="Q170" s="20">
        <f t="shared" si="67"/>
        <v>0</v>
      </c>
      <c r="R170" s="20">
        <f t="shared" si="67"/>
        <v>0</v>
      </c>
      <c r="S170" s="20">
        <f t="shared" si="67"/>
        <v>0</v>
      </c>
      <c r="T170" s="20">
        <f t="shared" si="67"/>
        <v>0</v>
      </c>
      <c r="U170" s="20">
        <f t="shared" si="67"/>
        <v>0</v>
      </c>
      <c r="V170" s="20">
        <f t="shared" si="67"/>
        <v>0</v>
      </c>
      <c r="W170" s="20">
        <f t="shared" si="67"/>
        <v>0</v>
      </c>
      <c r="X170" s="20">
        <f t="shared" si="67"/>
        <v>0</v>
      </c>
      <c r="Y170" s="20">
        <f t="shared" si="67"/>
        <v>0</v>
      </c>
      <c r="Z170" s="20">
        <f t="shared" si="67"/>
        <v>0</v>
      </c>
      <c r="AA170" s="20">
        <f t="shared" si="67"/>
        <v>0</v>
      </c>
      <c r="AB170" s="20">
        <f t="shared" si="67"/>
        <v>0</v>
      </c>
      <c r="AC170" s="20">
        <f t="shared" si="67"/>
        <v>0</v>
      </c>
      <c r="AD170" s="20">
        <f t="shared" si="67"/>
        <v>0</v>
      </c>
      <c r="AE170" s="20">
        <f t="shared" si="67"/>
        <v>0</v>
      </c>
      <c r="AF170" s="20">
        <f t="shared" si="67"/>
        <v>0</v>
      </c>
      <c r="AG170" s="20">
        <f t="shared" si="67"/>
        <v>0</v>
      </c>
      <c r="AH170" s="20">
        <f t="shared" si="67"/>
        <v>0</v>
      </c>
      <c r="AI170" s="20">
        <f t="shared" si="67"/>
        <v>0</v>
      </c>
      <c r="AJ170" s="20">
        <f t="shared" si="67"/>
        <v>0</v>
      </c>
      <c r="AK170" s="20">
        <f t="shared" si="67"/>
        <v>0</v>
      </c>
      <c r="AL170" s="20">
        <f t="shared" si="67"/>
        <v>0</v>
      </c>
      <c r="AM170" s="20">
        <f t="shared" si="67"/>
        <v>0</v>
      </c>
      <c r="AN170" s="20">
        <f t="shared" si="67"/>
        <v>0</v>
      </c>
      <c r="AO170" s="20">
        <f t="shared" si="67"/>
        <v>0</v>
      </c>
      <c r="AP170" s="20">
        <f t="shared" si="67"/>
        <v>0</v>
      </c>
      <c r="AQ170" s="20">
        <f t="shared" si="67"/>
        <v>0</v>
      </c>
      <c r="AR170" s="20">
        <f t="shared" si="67"/>
        <v>0</v>
      </c>
      <c r="AS170" s="20">
        <f t="shared" si="67"/>
        <v>0</v>
      </c>
      <c r="AT170" s="20">
        <f t="shared" si="67"/>
        <v>0</v>
      </c>
      <c r="AU170" s="20">
        <f t="shared" si="67"/>
        <v>0</v>
      </c>
      <c r="AV170" s="20">
        <f t="shared" si="67"/>
        <v>0</v>
      </c>
      <c r="AW170" s="20">
        <f t="shared" si="67"/>
        <v>0</v>
      </c>
      <c r="AX170" s="20">
        <f t="shared" si="67"/>
        <v>0</v>
      </c>
      <c r="AY170" s="20">
        <f t="shared" si="67"/>
        <v>0</v>
      </c>
      <c r="AZ170" s="20">
        <f t="shared" si="67"/>
        <v>0</v>
      </c>
      <c r="BA170" s="20">
        <f t="shared" si="67"/>
        <v>0</v>
      </c>
      <c r="BB170" s="20">
        <f t="shared" si="67"/>
        <v>0</v>
      </c>
      <c r="BC170" s="20">
        <f t="shared" si="67"/>
        <v>0</v>
      </c>
      <c r="BD170" s="20">
        <f t="shared" si="67"/>
        <v>-9236.3499999996275</v>
      </c>
      <c r="BE170" s="20">
        <f t="shared" si="67"/>
        <v>-9236.3500000005588</v>
      </c>
      <c r="BF170" s="20">
        <f t="shared" si="67"/>
        <v>0</v>
      </c>
      <c r="BG170" s="20">
        <f t="shared" si="67"/>
        <v>0</v>
      </c>
    </row>
    <row r="172" spans="1:59" x14ac:dyDescent="0.2">
      <c r="D172" s="8" t="s">
        <v>579</v>
      </c>
      <c r="E172" s="13">
        <f>E6+E16+E28+E40+E44+E54</f>
        <v>3706265</v>
      </c>
      <c r="F172" s="13">
        <f t="shared" ref="F172:BG172" si="68">F6+F16+F28+F40+F44+F54</f>
        <v>1015560.3700000001</v>
      </c>
      <c r="G172" s="13">
        <f t="shared" si="68"/>
        <v>1533944.96</v>
      </c>
      <c r="H172" s="13">
        <f t="shared" si="68"/>
        <v>1995015.35</v>
      </c>
      <c r="I172" s="13">
        <f t="shared" si="68"/>
        <v>16484187.290000001</v>
      </c>
      <c r="J172" s="13">
        <f t="shared" si="68"/>
        <v>14301740.48</v>
      </c>
      <c r="K172" s="13">
        <f t="shared" si="68"/>
        <v>10580113.379999999</v>
      </c>
      <c r="L172" s="13">
        <f t="shared" si="68"/>
        <v>113944087.19</v>
      </c>
      <c r="M172" s="13">
        <f t="shared" si="68"/>
        <v>8204743.0099999998</v>
      </c>
      <c r="N172" s="13">
        <f t="shared" si="68"/>
        <v>525295.03</v>
      </c>
      <c r="O172" s="13">
        <f t="shared" si="68"/>
        <v>28699133.18</v>
      </c>
      <c r="P172" s="13">
        <f t="shared" si="68"/>
        <v>1810551.4800000002</v>
      </c>
      <c r="Q172" s="13">
        <f t="shared" si="68"/>
        <v>390253.64999999997</v>
      </c>
      <c r="R172" s="13">
        <f t="shared" si="68"/>
        <v>1603423.5</v>
      </c>
      <c r="S172" s="13">
        <f t="shared" si="68"/>
        <v>1411919.32</v>
      </c>
      <c r="T172" s="13">
        <f t="shared" si="68"/>
        <v>3207836.16</v>
      </c>
      <c r="U172" s="13">
        <f t="shared" si="68"/>
        <v>996548.31</v>
      </c>
      <c r="V172" s="13">
        <f t="shared" si="68"/>
        <v>2303149.87</v>
      </c>
      <c r="W172" s="13">
        <f t="shared" si="68"/>
        <v>11857307.850000001</v>
      </c>
      <c r="X172" s="13">
        <f t="shared" si="68"/>
        <v>1940777.22</v>
      </c>
      <c r="Y172" s="13">
        <f t="shared" si="68"/>
        <v>6112872.1899999995</v>
      </c>
      <c r="Z172" s="13">
        <f t="shared" si="68"/>
        <v>13260141.880000001</v>
      </c>
      <c r="AA172" s="13">
        <f t="shared" si="68"/>
        <v>869305.73</v>
      </c>
      <c r="AB172" s="13">
        <f t="shared" si="68"/>
        <v>2757489.8400000003</v>
      </c>
      <c r="AC172" s="13">
        <f t="shared" si="68"/>
        <v>3558207.9200000004</v>
      </c>
      <c r="AD172" s="13">
        <f t="shared" si="68"/>
        <v>2839939.1399999997</v>
      </c>
      <c r="AE172" s="13">
        <f t="shared" si="68"/>
        <v>3651459.03</v>
      </c>
      <c r="AF172" s="13">
        <f t="shared" si="68"/>
        <v>9611522.5199999996</v>
      </c>
      <c r="AG172" s="13">
        <f t="shared" si="68"/>
        <v>11963939.890000001</v>
      </c>
      <c r="AH172" s="13">
        <f t="shared" si="68"/>
        <v>1027706.8500000001</v>
      </c>
      <c r="AI172" s="13">
        <f t="shared" si="68"/>
        <v>492797.3</v>
      </c>
      <c r="AJ172" s="13">
        <f t="shared" si="68"/>
        <v>7594227.8599999994</v>
      </c>
      <c r="AK172" s="13">
        <f t="shared" si="68"/>
        <v>5122518.75</v>
      </c>
      <c r="AL172" s="13">
        <f t="shared" si="68"/>
        <v>5219646.07</v>
      </c>
      <c r="AM172" s="13">
        <f t="shared" si="68"/>
        <v>647691.13</v>
      </c>
      <c r="AN172" s="13">
        <f t="shared" si="68"/>
        <v>8168220.5899999999</v>
      </c>
      <c r="AO172" s="13">
        <f t="shared" si="68"/>
        <v>3805259.62</v>
      </c>
      <c r="AP172" s="13">
        <f t="shared" si="68"/>
        <v>2690891.1799999997</v>
      </c>
      <c r="AQ172" s="13">
        <f t="shared" si="68"/>
        <v>6410780.8100000005</v>
      </c>
      <c r="AR172" s="13">
        <f t="shared" si="68"/>
        <v>3265083.38</v>
      </c>
      <c r="AS172" s="13">
        <f t="shared" si="68"/>
        <v>4638197.7599999998</v>
      </c>
      <c r="AT172" s="13">
        <f t="shared" si="68"/>
        <v>1046603.25</v>
      </c>
      <c r="AU172" s="13">
        <f t="shared" si="68"/>
        <v>10494332.279999999</v>
      </c>
      <c r="AV172" s="13">
        <f t="shared" si="68"/>
        <v>3191797.16</v>
      </c>
      <c r="AW172" s="13">
        <f t="shared" si="68"/>
        <v>1569866.4</v>
      </c>
      <c r="AX172" s="13">
        <f t="shared" si="68"/>
        <v>1411285.7999999998</v>
      </c>
      <c r="AY172" s="13">
        <f t="shared" si="68"/>
        <v>6804691.7800000003</v>
      </c>
      <c r="AZ172" s="13">
        <f t="shared" si="68"/>
        <v>1813902.1500000001</v>
      </c>
      <c r="BA172" s="13">
        <f t="shared" si="68"/>
        <v>5505864.54</v>
      </c>
      <c r="BB172" s="13">
        <f t="shared" si="68"/>
        <v>41379645.270000003</v>
      </c>
      <c r="BC172" s="13">
        <f t="shared" si="68"/>
        <v>2376086.9299999997</v>
      </c>
      <c r="BD172" s="13">
        <f t="shared" si="68"/>
        <v>405813827.60000002</v>
      </c>
      <c r="BE172" s="13">
        <f t="shared" si="68"/>
        <v>224571075.38000005</v>
      </c>
      <c r="BF172" s="13">
        <f t="shared" si="68"/>
        <v>58086159.510000013</v>
      </c>
      <c r="BG172" s="13">
        <f t="shared" si="68"/>
        <v>123156592.71000001</v>
      </c>
    </row>
    <row r="173" spans="1:59" x14ac:dyDescent="0.2">
      <c r="D173" s="8" t="s">
        <v>580</v>
      </c>
      <c r="E173" s="13">
        <f>E77+E83+E89+E100+E118+E122+E129</f>
        <v>4098603.42</v>
      </c>
      <c r="F173" s="13">
        <f t="shared" ref="F173:BG173" si="69">F77+F83+F89+F100+F118+F122+F129</f>
        <v>1189711.8500000001</v>
      </c>
      <c r="G173" s="13">
        <f t="shared" si="69"/>
        <v>1359922.48</v>
      </c>
      <c r="H173" s="13">
        <f t="shared" si="69"/>
        <v>2055141.5599999998</v>
      </c>
      <c r="I173" s="13">
        <f t="shared" si="69"/>
        <v>16465603.780000001</v>
      </c>
      <c r="J173" s="13">
        <f t="shared" si="69"/>
        <v>14812464.09</v>
      </c>
      <c r="K173" s="13">
        <f t="shared" si="69"/>
        <v>11411240.450000003</v>
      </c>
      <c r="L173" s="13">
        <f t="shared" si="69"/>
        <v>108951405.34999999</v>
      </c>
      <c r="M173" s="13">
        <f t="shared" si="69"/>
        <v>8420356.7400000002</v>
      </c>
      <c r="N173" s="13">
        <f t="shared" si="69"/>
        <v>489648.25000000006</v>
      </c>
      <c r="O173" s="13">
        <f t="shared" si="69"/>
        <v>27462935.710000001</v>
      </c>
      <c r="P173" s="13">
        <f t="shared" si="69"/>
        <v>1971912.07</v>
      </c>
      <c r="Q173" s="13">
        <f t="shared" si="69"/>
        <v>367190.60000000003</v>
      </c>
      <c r="R173" s="13">
        <f t="shared" si="69"/>
        <v>1519588.6700000002</v>
      </c>
      <c r="S173" s="13">
        <f t="shared" si="69"/>
        <v>1316142.1499999999</v>
      </c>
      <c r="T173" s="13">
        <f t="shared" si="69"/>
        <v>3301483.4800000004</v>
      </c>
      <c r="U173" s="13">
        <f t="shared" si="69"/>
        <v>1025278.9500000001</v>
      </c>
      <c r="V173" s="13">
        <f t="shared" si="69"/>
        <v>2350995.08</v>
      </c>
      <c r="W173" s="13">
        <f t="shared" si="69"/>
        <v>12252144.560000001</v>
      </c>
      <c r="X173" s="13">
        <f t="shared" si="69"/>
        <v>1936202.8499999999</v>
      </c>
      <c r="Y173" s="13">
        <f t="shared" si="69"/>
        <v>7207105.46</v>
      </c>
      <c r="Z173" s="13">
        <f t="shared" si="69"/>
        <v>18848729.669999998</v>
      </c>
      <c r="AA173" s="13">
        <f t="shared" si="69"/>
        <v>861814.84000000008</v>
      </c>
      <c r="AB173" s="13">
        <f t="shared" si="69"/>
        <v>2458334.3600000003</v>
      </c>
      <c r="AC173" s="13">
        <f t="shared" si="69"/>
        <v>3827153.9099999992</v>
      </c>
      <c r="AD173" s="13">
        <f t="shared" si="69"/>
        <v>2829777.29</v>
      </c>
      <c r="AE173" s="13">
        <f t="shared" si="69"/>
        <v>3701178.16</v>
      </c>
      <c r="AF173" s="13">
        <f t="shared" si="69"/>
        <v>11238738.92</v>
      </c>
      <c r="AG173" s="13">
        <f t="shared" si="69"/>
        <v>13187256.380000003</v>
      </c>
      <c r="AH173" s="13">
        <f t="shared" si="69"/>
        <v>1052577.48</v>
      </c>
      <c r="AI173" s="13">
        <f t="shared" si="69"/>
        <v>662638.42000000004</v>
      </c>
      <c r="AJ173" s="13">
        <f t="shared" si="69"/>
        <v>8328188.54</v>
      </c>
      <c r="AK173" s="13">
        <f t="shared" si="69"/>
        <v>4801992.8299999991</v>
      </c>
      <c r="AL173" s="13">
        <f t="shared" si="69"/>
        <v>5285914.46</v>
      </c>
      <c r="AM173" s="13">
        <f t="shared" si="69"/>
        <v>628231.64999999991</v>
      </c>
      <c r="AN173" s="13">
        <f t="shared" si="69"/>
        <v>10255887.619999997</v>
      </c>
      <c r="AO173" s="13">
        <f t="shared" si="69"/>
        <v>3302214.12</v>
      </c>
      <c r="AP173" s="13">
        <f t="shared" si="69"/>
        <v>2901185.27</v>
      </c>
      <c r="AQ173" s="13">
        <f t="shared" si="69"/>
        <v>6247231.7700000005</v>
      </c>
      <c r="AR173" s="13">
        <f t="shared" si="69"/>
        <v>2946927.5900000003</v>
      </c>
      <c r="AS173" s="13">
        <f t="shared" si="69"/>
        <v>4655047.2899999991</v>
      </c>
      <c r="AT173" s="13">
        <f t="shared" si="69"/>
        <v>1594405.8399999999</v>
      </c>
      <c r="AU173" s="13">
        <f t="shared" si="69"/>
        <v>10372202.890000001</v>
      </c>
      <c r="AV173" s="13">
        <f t="shared" si="69"/>
        <v>3443923.86</v>
      </c>
      <c r="AW173" s="13">
        <f t="shared" si="69"/>
        <v>1973370.0299999998</v>
      </c>
      <c r="AX173" s="13">
        <f t="shared" si="69"/>
        <v>1324940.98</v>
      </c>
      <c r="AY173" s="13">
        <f t="shared" si="69"/>
        <v>7240068.4299999997</v>
      </c>
      <c r="AZ173" s="13">
        <f t="shared" si="69"/>
        <v>1807361.1400000001</v>
      </c>
      <c r="BA173" s="13">
        <f t="shared" si="69"/>
        <v>5372936.1900000004</v>
      </c>
      <c r="BB173" s="13">
        <f t="shared" si="69"/>
        <v>40298400.649999991</v>
      </c>
      <c r="BC173" s="13">
        <f t="shared" si="69"/>
        <v>2504530.8600000003</v>
      </c>
      <c r="BD173" s="13">
        <f t="shared" si="69"/>
        <v>413918238.98999989</v>
      </c>
      <c r="BE173" s="13">
        <f t="shared" si="69"/>
        <v>220821769.23999998</v>
      </c>
      <c r="BF173" s="13">
        <f t="shared" si="69"/>
        <v>67811507.739999995</v>
      </c>
      <c r="BG173" s="13">
        <f t="shared" si="69"/>
        <v>125284962.01000001</v>
      </c>
    </row>
    <row r="175" spans="1:59" x14ac:dyDescent="0.2">
      <c r="L175" s="13"/>
    </row>
    <row r="178" spans="1:59" ht="15" x14ac:dyDescent="0.25">
      <c r="D178" s="85" t="s">
        <v>447</v>
      </c>
    </row>
    <row r="179" spans="1:59" x14ac:dyDescent="0.2">
      <c r="A179" s="8">
        <v>3</v>
      </c>
      <c r="B179" s="8">
        <v>31</v>
      </c>
      <c r="C179" s="8">
        <v>3180</v>
      </c>
      <c r="D179" s="8" t="s">
        <v>92</v>
      </c>
      <c r="E179" s="19">
        <v>16636</v>
      </c>
      <c r="F179" s="19">
        <v>-2186.5500000000002</v>
      </c>
      <c r="G179" s="19">
        <v>-28380.41</v>
      </c>
      <c r="H179" s="19">
        <v>0</v>
      </c>
      <c r="I179" s="19">
        <v>199596.81</v>
      </c>
      <c r="J179" s="19">
        <v>97571.78</v>
      </c>
      <c r="K179" s="19">
        <v>72987.14</v>
      </c>
      <c r="L179" s="13">
        <v>467592.63</v>
      </c>
      <c r="M179" s="19">
        <v>19395.66</v>
      </c>
      <c r="N179" s="19">
        <v>31.86</v>
      </c>
      <c r="O179" s="19">
        <v>-2388</v>
      </c>
      <c r="P179" s="19">
        <v>17120.59</v>
      </c>
      <c r="Q179" s="19">
        <v>3.34</v>
      </c>
      <c r="R179" s="19">
        <v>11573.61</v>
      </c>
      <c r="S179" s="19">
        <v>12251.28</v>
      </c>
      <c r="T179" s="19">
        <v>15858.65</v>
      </c>
      <c r="U179" s="19">
        <v>479.68</v>
      </c>
      <c r="V179" s="19">
        <v>17378.080000000002</v>
      </c>
      <c r="W179" s="19">
        <v>117433.52</v>
      </c>
      <c r="X179" s="19">
        <v>7275.45</v>
      </c>
      <c r="Y179" s="19">
        <v>63379.95</v>
      </c>
      <c r="Z179" s="19">
        <v>6535.23</v>
      </c>
      <c r="AA179" s="19">
        <v>1881.45</v>
      </c>
      <c r="AB179" s="19">
        <v>-54875.09</v>
      </c>
      <c r="AC179" s="19">
        <v>9273.68</v>
      </c>
      <c r="AD179" s="19">
        <v>900</v>
      </c>
      <c r="AE179" s="19">
        <v>62202.97</v>
      </c>
      <c r="AF179" s="19">
        <v>22920</v>
      </c>
      <c r="AG179" s="19">
        <v>-8519.08</v>
      </c>
      <c r="AH179" s="19">
        <v>1220.3499999999999</v>
      </c>
      <c r="AI179" s="19">
        <v>3402.65</v>
      </c>
      <c r="AJ179" s="19">
        <v>45419.49</v>
      </c>
      <c r="AK179" s="19">
        <v>32400.16</v>
      </c>
      <c r="AL179" s="19">
        <v>65229.57</v>
      </c>
      <c r="AM179" s="19">
        <v>25746.400000000001</v>
      </c>
      <c r="AN179" s="19">
        <v>78032.36</v>
      </c>
      <c r="AO179" s="19">
        <v>44995.58</v>
      </c>
      <c r="AP179" s="19">
        <v>19629.169999999998</v>
      </c>
      <c r="AQ179" s="19">
        <v>52949.59</v>
      </c>
      <c r="AR179" s="19">
        <v>34217.410000000003</v>
      </c>
      <c r="AS179" s="19">
        <v>-17784.259999999998</v>
      </c>
      <c r="AT179" s="19">
        <v>-178887.98</v>
      </c>
      <c r="AU179" s="19">
        <v>7180.76</v>
      </c>
      <c r="AV179" s="19">
        <v>14633.62</v>
      </c>
      <c r="AW179" s="19">
        <v>6639.25</v>
      </c>
      <c r="AX179" s="19">
        <v>22781.15</v>
      </c>
      <c r="AY179" s="19">
        <v>55051.59</v>
      </c>
      <c r="AZ179" s="19">
        <v>20416.88</v>
      </c>
      <c r="BA179" s="19">
        <v>13064.78</v>
      </c>
      <c r="BB179" s="19">
        <v>328199.05</v>
      </c>
      <c r="BC179" s="19">
        <v>78797.19</v>
      </c>
      <c r="BD179" s="19">
        <f>SUM(E179:BC179)</f>
        <v>1897264.9899999998</v>
      </c>
      <c r="BE179" s="19">
        <f>SUM(E179:W179)</f>
        <v>1032955.67</v>
      </c>
      <c r="BF179" s="19">
        <f>SUM(X179:AI179)</f>
        <v>115597.55999999998</v>
      </c>
      <c r="BG179" s="19">
        <f>SUM(AJ179:BC179)</f>
        <v>748711.76</v>
      </c>
    </row>
    <row r="180" spans="1:59" x14ac:dyDescent="0.2">
      <c r="B180" s="8">
        <v>36</v>
      </c>
      <c r="C180" s="8">
        <v>36227</v>
      </c>
      <c r="D180" s="8" t="s">
        <v>283</v>
      </c>
      <c r="E180" s="19">
        <v>0</v>
      </c>
      <c r="F180" s="19">
        <v>0</v>
      </c>
      <c r="G180" s="19">
        <v>0</v>
      </c>
      <c r="H180" s="19">
        <v>0</v>
      </c>
      <c r="I180" s="19">
        <v>0</v>
      </c>
      <c r="J180" s="19">
        <v>0</v>
      </c>
      <c r="K180" s="19">
        <v>241355</v>
      </c>
      <c r="L180" s="19">
        <v>841941</v>
      </c>
      <c r="M180" s="19">
        <v>0</v>
      </c>
      <c r="N180" s="19">
        <v>0</v>
      </c>
      <c r="O180" s="19">
        <v>0</v>
      </c>
      <c r="P180" s="19">
        <v>0</v>
      </c>
      <c r="Q180" s="19">
        <v>0</v>
      </c>
      <c r="R180" s="19">
        <v>0</v>
      </c>
      <c r="S180" s="19">
        <v>0</v>
      </c>
      <c r="T180" s="19">
        <v>30591</v>
      </c>
      <c r="U180" s="19">
        <v>0</v>
      </c>
      <c r="V180" s="19">
        <v>0</v>
      </c>
      <c r="W180" s="19">
        <v>0</v>
      </c>
      <c r="X180" s="19">
        <v>0</v>
      </c>
      <c r="Y180" s="19">
        <v>182984</v>
      </c>
      <c r="Z180" s="19">
        <v>3843938</v>
      </c>
      <c r="AA180" s="19">
        <v>0</v>
      </c>
      <c r="AB180" s="19">
        <v>0</v>
      </c>
      <c r="AC180" s="19">
        <v>0</v>
      </c>
      <c r="AD180" s="19">
        <v>0</v>
      </c>
      <c r="AE180" s="19">
        <v>23124</v>
      </c>
      <c r="AF180" s="19">
        <v>343683</v>
      </c>
      <c r="AG180" s="19">
        <v>0</v>
      </c>
      <c r="AH180" s="19">
        <v>0</v>
      </c>
      <c r="AI180" s="19">
        <v>0</v>
      </c>
      <c r="AJ180" s="19">
        <v>62492</v>
      </c>
      <c r="AK180" s="19">
        <v>0</v>
      </c>
      <c r="AL180" s="19">
        <v>0</v>
      </c>
      <c r="AM180" s="19">
        <v>0</v>
      </c>
      <c r="AN180" s="19">
        <v>1770320</v>
      </c>
      <c r="AO180" s="19">
        <v>10400</v>
      </c>
      <c r="AP180" s="19">
        <v>20919</v>
      </c>
      <c r="AQ180" s="19">
        <v>0</v>
      </c>
      <c r="AR180" s="19">
        <v>0</v>
      </c>
      <c r="AS180" s="19">
        <v>0</v>
      </c>
      <c r="AT180" s="19">
        <v>0</v>
      </c>
      <c r="AU180" s="19">
        <v>0</v>
      </c>
      <c r="AV180" s="19">
        <v>33832</v>
      </c>
      <c r="AW180" s="19">
        <v>0</v>
      </c>
      <c r="AX180" s="19">
        <v>0</v>
      </c>
      <c r="AY180" s="19">
        <v>0</v>
      </c>
      <c r="AZ180" s="19">
        <v>0</v>
      </c>
      <c r="BA180" s="19">
        <v>10724</v>
      </c>
      <c r="BB180" s="19">
        <v>265179</v>
      </c>
      <c r="BC180" s="19">
        <v>0</v>
      </c>
      <c r="BD180" s="19">
        <f t="shared" ref="BD180:BD191" si="70">SUM(E180:BC180)</f>
        <v>7681482</v>
      </c>
      <c r="BE180" s="19">
        <f t="shared" ref="BE180:BE191" si="71">SUM(E180:W180)</f>
        <v>1113887</v>
      </c>
      <c r="BF180" s="19">
        <f t="shared" ref="BF180:BF191" si="72">SUM(X180:AI180)</f>
        <v>4393729</v>
      </c>
      <c r="BG180" s="19">
        <f t="shared" ref="BG180:BG191" si="73">SUM(AJ180:BC180)</f>
        <v>2173866</v>
      </c>
    </row>
    <row r="181" spans="1:59" x14ac:dyDescent="0.2">
      <c r="C181" s="8">
        <v>36228</v>
      </c>
      <c r="D181" s="8" t="s">
        <v>284</v>
      </c>
      <c r="E181" s="19">
        <v>0</v>
      </c>
      <c r="F181" s="19">
        <v>0</v>
      </c>
      <c r="G181" s="19">
        <v>0</v>
      </c>
      <c r="H181" s="19">
        <v>0</v>
      </c>
      <c r="I181" s="19">
        <v>158900</v>
      </c>
      <c r="J181" s="19">
        <v>143390</v>
      </c>
      <c r="K181" s="19">
        <v>0</v>
      </c>
      <c r="L181" s="19">
        <v>18648</v>
      </c>
      <c r="M181" s="19">
        <v>58468</v>
      </c>
      <c r="N181" s="19">
        <v>0</v>
      </c>
      <c r="O181" s="19">
        <v>248509</v>
      </c>
      <c r="P181" s="19">
        <v>0</v>
      </c>
      <c r="Q181" s="19">
        <v>3816</v>
      </c>
      <c r="R181" s="19">
        <v>0</v>
      </c>
      <c r="S181" s="19">
        <v>0</v>
      </c>
      <c r="T181" s="19">
        <v>0</v>
      </c>
      <c r="U181" s="19">
        <v>4624</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0</v>
      </c>
      <c r="AP181" s="19">
        <v>0</v>
      </c>
      <c r="AQ181" s="19">
        <v>0</v>
      </c>
      <c r="AR181" s="19">
        <v>0</v>
      </c>
      <c r="AS181" s="19">
        <v>0</v>
      </c>
      <c r="AT181" s="19">
        <v>0</v>
      </c>
      <c r="AU181" s="19">
        <v>67846</v>
      </c>
      <c r="AV181" s="19">
        <v>0</v>
      </c>
      <c r="AW181" s="19">
        <v>0</v>
      </c>
      <c r="AX181" s="19">
        <v>0</v>
      </c>
      <c r="AY181" s="19">
        <v>0</v>
      </c>
      <c r="AZ181" s="19">
        <v>6318</v>
      </c>
      <c r="BA181" s="19">
        <v>0</v>
      </c>
      <c r="BB181" s="19">
        <v>0</v>
      </c>
      <c r="BC181" s="19">
        <v>0</v>
      </c>
      <c r="BD181" s="19">
        <f t="shared" si="70"/>
        <v>710519</v>
      </c>
      <c r="BE181" s="19">
        <f t="shared" si="71"/>
        <v>636355</v>
      </c>
      <c r="BF181" s="19">
        <f t="shared" si="72"/>
        <v>0</v>
      </c>
      <c r="BG181" s="19">
        <f t="shared" si="73"/>
        <v>74164</v>
      </c>
    </row>
    <row r="182" spans="1:59" x14ac:dyDescent="0.2">
      <c r="B182" s="8">
        <v>38</v>
      </c>
      <c r="C182" s="8">
        <v>3898</v>
      </c>
      <c r="D182" s="8" t="s">
        <v>224</v>
      </c>
      <c r="E182" s="19">
        <v>0</v>
      </c>
      <c r="F182" s="19">
        <v>0</v>
      </c>
      <c r="G182" s="19">
        <v>0</v>
      </c>
      <c r="H182" s="19">
        <v>0</v>
      </c>
      <c r="I182" s="19">
        <v>150000</v>
      </c>
      <c r="J182" s="19">
        <v>190359.86</v>
      </c>
      <c r="K182" s="19">
        <v>900000</v>
      </c>
      <c r="L182" s="19">
        <v>0</v>
      </c>
      <c r="M182" s="19">
        <v>0</v>
      </c>
      <c r="N182" s="19">
        <v>0</v>
      </c>
      <c r="O182" s="19">
        <v>0</v>
      </c>
      <c r="P182" s="19">
        <v>0</v>
      </c>
      <c r="Q182" s="19">
        <v>0</v>
      </c>
      <c r="R182" s="19">
        <v>130000</v>
      </c>
      <c r="S182" s="19">
        <v>0</v>
      </c>
      <c r="T182" s="19">
        <v>0</v>
      </c>
      <c r="U182" s="19">
        <v>20000</v>
      </c>
      <c r="V182" s="19">
        <v>30000</v>
      </c>
      <c r="W182" s="19">
        <v>500000</v>
      </c>
      <c r="X182" s="19">
        <v>0</v>
      </c>
      <c r="Y182" s="19">
        <v>0</v>
      </c>
      <c r="Z182" s="19">
        <v>3397569.32</v>
      </c>
      <c r="AA182" s="19">
        <v>0</v>
      </c>
      <c r="AB182" s="19">
        <v>0</v>
      </c>
      <c r="AC182" s="19">
        <v>371205.37</v>
      </c>
      <c r="AD182" s="19">
        <v>0</v>
      </c>
      <c r="AE182" s="19">
        <v>460000</v>
      </c>
      <c r="AF182" s="19">
        <v>0</v>
      </c>
      <c r="AG182" s="19">
        <v>900000</v>
      </c>
      <c r="AH182" s="19">
        <v>0</v>
      </c>
      <c r="AI182" s="19">
        <v>80000</v>
      </c>
      <c r="AJ182" s="19">
        <v>470300.7</v>
      </c>
      <c r="AK182" s="19">
        <v>723729.2</v>
      </c>
      <c r="AL182" s="19">
        <v>0</v>
      </c>
      <c r="AM182" s="19">
        <v>15690.5</v>
      </c>
      <c r="AN182" s="19">
        <v>800000</v>
      </c>
      <c r="AO182" s="19">
        <v>0</v>
      </c>
      <c r="AP182" s="19">
        <v>250000</v>
      </c>
      <c r="AQ182" s="19">
        <v>115000</v>
      </c>
      <c r="AR182" s="19">
        <v>217.68</v>
      </c>
      <c r="AS182" s="19">
        <v>0</v>
      </c>
      <c r="AT182" s="19">
        <v>300000</v>
      </c>
      <c r="AU182" s="19">
        <v>0</v>
      </c>
      <c r="AV182" s="19">
        <v>200000</v>
      </c>
      <c r="AW182" s="19">
        <v>0</v>
      </c>
      <c r="AX182" s="19">
        <v>0</v>
      </c>
      <c r="AY182" s="19">
        <v>0</v>
      </c>
      <c r="AZ182" s="19">
        <v>0</v>
      </c>
      <c r="BA182" s="19">
        <v>0</v>
      </c>
      <c r="BB182" s="19">
        <v>0</v>
      </c>
      <c r="BC182" s="19">
        <v>80000</v>
      </c>
      <c r="BD182" s="19">
        <f t="shared" si="70"/>
        <v>10084072.629999999</v>
      </c>
      <c r="BE182" s="19">
        <f t="shared" si="71"/>
        <v>1920359.8599999999</v>
      </c>
      <c r="BF182" s="19">
        <f t="shared" si="72"/>
        <v>5208774.6899999995</v>
      </c>
      <c r="BG182" s="19">
        <f t="shared" si="73"/>
        <v>2954938.08</v>
      </c>
    </row>
    <row r="183" spans="1:59" x14ac:dyDescent="0.2">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row>
    <row r="184" spans="1:59" x14ac:dyDescent="0.2">
      <c r="A184" s="8">
        <v>4</v>
      </c>
      <c r="B184" s="8">
        <v>44</v>
      </c>
      <c r="C184" s="8">
        <v>4490</v>
      </c>
      <c r="D184" s="8" t="s">
        <v>849</v>
      </c>
      <c r="E184" s="19">
        <v>0</v>
      </c>
      <c r="F184" s="19">
        <v>0</v>
      </c>
      <c r="G184" s="19">
        <v>0</v>
      </c>
      <c r="H184" s="19">
        <v>0</v>
      </c>
      <c r="I184" s="19">
        <v>0</v>
      </c>
      <c r="J184" s="19">
        <v>0</v>
      </c>
      <c r="K184" s="19">
        <v>0</v>
      </c>
      <c r="L184" s="19">
        <v>0</v>
      </c>
      <c r="M184" s="19">
        <v>0</v>
      </c>
      <c r="N184" s="19">
        <v>0</v>
      </c>
      <c r="O184" s="19">
        <v>1566.5</v>
      </c>
      <c r="P184" s="19">
        <v>0</v>
      </c>
      <c r="Q184" s="19">
        <v>0</v>
      </c>
      <c r="R184" s="19">
        <v>0</v>
      </c>
      <c r="S184" s="19">
        <v>0</v>
      </c>
      <c r="T184" s="19">
        <v>0</v>
      </c>
      <c r="U184" s="19">
        <v>0</v>
      </c>
      <c r="V184" s="19">
        <v>0</v>
      </c>
      <c r="W184" s="19">
        <v>0</v>
      </c>
      <c r="X184" s="19">
        <v>0</v>
      </c>
      <c r="Y184" s="19">
        <v>0</v>
      </c>
      <c r="Z184" s="19">
        <v>0</v>
      </c>
      <c r="AA184" s="19">
        <v>0</v>
      </c>
      <c r="AB184" s="19">
        <v>0</v>
      </c>
      <c r="AC184" s="19">
        <v>0</v>
      </c>
      <c r="AD184" s="19">
        <v>0</v>
      </c>
      <c r="AE184" s="19">
        <v>0</v>
      </c>
      <c r="AF184" s="19">
        <v>31.87</v>
      </c>
      <c r="AG184" s="19">
        <v>0</v>
      </c>
      <c r="AH184" s="19">
        <v>0</v>
      </c>
      <c r="AI184" s="19">
        <v>6920</v>
      </c>
      <c r="AJ184" s="19">
        <v>0</v>
      </c>
      <c r="AK184" s="19">
        <v>900</v>
      </c>
      <c r="AL184" s="19">
        <v>0</v>
      </c>
      <c r="AM184" s="19">
        <v>0</v>
      </c>
      <c r="AN184" s="19">
        <v>0</v>
      </c>
      <c r="AO184" s="19">
        <v>0</v>
      </c>
      <c r="AP184" s="19">
        <v>0</v>
      </c>
      <c r="AQ184" s="19">
        <v>0</v>
      </c>
      <c r="AR184" s="19">
        <v>0</v>
      </c>
      <c r="AS184" s="19">
        <v>0</v>
      </c>
      <c r="AT184" s="19">
        <v>0</v>
      </c>
      <c r="AU184" s="19">
        <v>0</v>
      </c>
      <c r="AV184" s="19">
        <v>0</v>
      </c>
      <c r="AW184" s="19">
        <v>0</v>
      </c>
      <c r="AX184" s="19">
        <v>0</v>
      </c>
      <c r="AY184" s="19">
        <v>0</v>
      </c>
      <c r="AZ184" s="19">
        <v>0</v>
      </c>
      <c r="BA184" s="19">
        <v>0</v>
      </c>
      <c r="BB184" s="19">
        <v>0</v>
      </c>
      <c r="BC184" s="19">
        <v>0</v>
      </c>
      <c r="BD184" s="19">
        <f t="shared" si="70"/>
        <v>9418.369999999999</v>
      </c>
      <c r="BE184" s="19">
        <f t="shared" si="71"/>
        <v>1566.5</v>
      </c>
      <c r="BF184" s="19">
        <f t="shared" si="72"/>
        <v>6951.87</v>
      </c>
      <c r="BG184" s="19">
        <f t="shared" si="73"/>
        <v>900</v>
      </c>
    </row>
    <row r="185" spans="1:59" x14ac:dyDescent="0.2">
      <c r="B185" s="8">
        <v>46</v>
      </c>
      <c r="C185" s="8">
        <v>46227</v>
      </c>
      <c r="D185" s="8" t="s">
        <v>283</v>
      </c>
      <c r="E185" s="19">
        <v>21092</v>
      </c>
      <c r="F185" s="19">
        <v>159548</v>
      </c>
      <c r="G185" s="19">
        <v>73018</v>
      </c>
      <c r="H185" s="19">
        <v>135724</v>
      </c>
      <c r="I185" s="19">
        <v>1230396</v>
      </c>
      <c r="J185" s="19">
        <v>204796</v>
      </c>
      <c r="K185" s="19">
        <v>0</v>
      </c>
      <c r="L185" s="19">
        <v>0</v>
      </c>
      <c r="M185" s="19">
        <v>0</v>
      </c>
      <c r="N185" s="19">
        <v>113452</v>
      </c>
      <c r="O185" s="19">
        <v>1228561</v>
      </c>
      <c r="P185" s="19">
        <v>304210</v>
      </c>
      <c r="Q185" s="19">
        <v>46172</v>
      </c>
      <c r="R185" s="19">
        <v>141958</v>
      </c>
      <c r="S185" s="19">
        <v>106306</v>
      </c>
      <c r="T185" s="19">
        <v>0</v>
      </c>
      <c r="U185" s="19">
        <v>193894</v>
      </c>
      <c r="V185" s="19">
        <v>10142</v>
      </c>
      <c r="W185" s="19">
        <v>720672</v>
      </c>
      <c r="X185" s="19">
        <v>16754</v>
      </c>
      <c r="Y185" s="19">
        <v>0</v>
      </c>
      <c r="Z185" s="19">
        <v>29266</v>
      </c>
      <c r="AA185" s="19">
        <v>58576</v>
      </c>
      <c r="AB185" s="19">
        <v>10638</v>
      </c>
      <c r="AC185" s="19">
        <v>161112</v>
      </c>
      <c r="AD185" s="19">
        <v>83696</v>
      </c>
      <c r="AE185" s="19">
        <v>0</v>
      </c>
      <c r="AF185" s="19">
        <v>0</v>
      </c>
      <c r="AG185" s="19">
        <v>242574</v>
      </c>
      <c r="AH185" s="19">
        <v>170886</v>
      </c>
      <c r="AI185" s="19">
        <v>49222</v>
      </c>
      <c r="AJ185" s="19">
        <v>0</v>
      </c>
      <c r="AK185" s="19">
        <v>482454</v>
      </c>
      <c r="AL185" s="19">
        <v>578520</v>
      </c>
      <c r="AM185" s="19">
        <v>21898</v>
      </c>
      <c r="AN185" s="19">
        <v>0</v>
      </c>
      <c r="AO185" s="19">
        <v>0</v>
      </c>
      <c r="AP185" s="19">
        <v>111253</v>
      </c>
      <c r="AQ185" s="19">
        <v>480598</v>
      </c>
      <c r="AR185" s="19">
        <v>169196</v>
      </c>
      <c r="AS185" s="19">
        <v>194010</v>
      </c>
      <c r="AT185" s="19">
        <v>200148</v>
      </c>
      <c r="AU185" s="19">
        <v>0</v>
      </c>
      <c r="AV185" s="19">
        <v>0</v>
      </c>
      <c r="AW185" s="87">
        <v>578925</v>
      </c>
      <c r="AX185" s="19">
        <v>118932</v>
      </c>
      <c r="AY185" s="19">
        <v>192929</v>
      </c>
      <c r="AZ185" s="19">
        <v>176566</v>
      </c>
      <c r="BA185" s="19">
        <v>0</v>
      </c>
      <c r="BB185" s="19">
        <v>0</v>
      </c>
      <c r="BC185" s="19">
        <v>160226</v>
      </c>
      <c r="BD185" s="19">
        <f t="shared" si="70"/>
        <v>8978320</v>
      </c>
      <c r="BE185" s="19">
        <f t="shared" si="71"/>
        <v>4689941</v>
      </c>
      <c r="BF185" s="19">
        <f t="shared" si="72"/>
        <v>822724</v>
      </c>
      <c r="BG185" s="19">
        <f t="shared" si="73"/>
        <v>3465655</v>
      </c>
    </row>
    <row r="186" spans="1:59" x14ac:dyDescent="0.2">
      <c r="C186" s="8">
        <v>46228</v>
      </c>
      <c r="D186" s="8" t="s">
        <v>284</v>
      </c>
      <c r="E186" s="19">
        <v>0</v>
      </c>
      <c r="F186" s="19">
        <v>0</v>
      </c>
      <c r="G186" s="19">
        <v>0</v>
      </c>
      <c r="H186" s="19">
        <v>0</v>
      </c>
      <c r="I186" s="19">
        <v>0</v>
      </c>
      <c r="J186" s="19">
        <v>0</v>
      </c>
      <c r="K186" s="19">
        <v>0</v>
      </c>
      <c r="L186" s="19">
        <v>1018740.6</v>
      </c>
      <c r="M186" s="19">
        <v>0</v>
      </c>
      <c r="N186" s="19">
        <v>0</v>
      </c>
      <c r="O186" s="19">
        <v>0</v>
      </c>
      <c r="P186" s="19">
        <v>0</v>
      </c>
      <c r="Q186" s="19">
        <v>0</v>
      </c>
      <c r="R186" s="19">
        <v>0</v>
      </c>
      <c r="S186" s="19">
        <v>0</v>
      </c>
      <c r="T186" s="19">
        <v>0</v>
      </c>
      <c r="U186" s="19">
        <v>0</v>
      </c>
      <c r="V186" s="19">
        <v>0</v>
      </c>
      <c r="W186" s="19">
        <v>0</v>
      </c>
      <c r="X186" s="19">
        <v>0</v>
      </c>
      <c r="Y186" s="19">
        <v>0</v>
      </c>
      <c r="Z186" s="19">
        <v>0</v>
      </c>
      <c r="AA186" s="19">
        <v>0</v>
      </c>
      <c r="AB186" s="19">
        <v>0</v>
      </c>
      <c r="AC186" s="19">
        <v>0</v>
      </c>
      <c r="AD186" s="19">
        <v>0</v>
      </c>
      <c r="AE186" s="19">
        <v>0</v>
      </c>
      <c r="AF186" s="19">
        <v>0</v>
      </c>
      <c r="AG186" s="19">
        <v>0</v>
      </c>
      <c r="AH186" s="19">
        <v>0</v>
      </c>
      <c r="AI186" s="19">
        <v>0</v>
      </c>
      <c r="AJ186" s="19">
        <v>0</v>
      </c>
      <c r="AK186" s="19">
        <v>0</v>
      </c>
      <c r="AL186" s="19">
        <v>0</v>
      </c>
      <c r="AM186" s="19">
        <v>0</v>
      </c>
      <c r="AN186" s="19">
        <v>0</v>
      </c>
      <c r="AO186" s="19">
        <v>0</v>
      </c>
      <c r="AP186" s="19">
        <v>0</v>
      </c>
      <c r="AQ186" s="19">
        <v>0</v>
      </c>
      <c r="AR186" s="19">
        <v>0</v>
      </c>
      <c r="AS186" s="19">
        <v>0</v>
      </c>
      <c r="AT186" s="19">
        <v>0</v>
      </c>
      <c r="AU186" s="19">
        <v>0</v>
      </c>
      <c r="AV186" s="19">
        <v>0</v>
      </c>
      <c r="AW186" s="19">
        <v>0</v>
      </c>
      <c r="AX186" s="19">
        <v>0</v>
      </c>
      <c r="AY186" s="19">
        <v>0</v>
      </c>
      <c r="AZ186" s="19">
        <v>0</v>
      </c>
      <c r="BA186" s="19">
        <v>0</v>
      </c>
      <c r="BB186" s="19">
        <v>424122.15</v>
      </c>
      <c r="BC186" s="19">
        <v>0</v>
      </c>
      <c r="BD186" s="19">
        <f t="shared" si="70"/>
        <v>1442862.75</v>
      </c>
      <c r="BE186" s="19">
        <f t="shared" si="71"/>
        <v>1018740.6</v>
      </c>
      <c r="BF186" s="19">
        <f t="shared" si="72"/>
        <v>0</v>
      </c>
      <c r="BG186" s="19">
        <f t="shared" si="73"/>
        <v>424122.15</v>
      </c>
    </row>
    <row r="187" spans="1:59" x14ac:dyDescent="0.2">
      <c r="B187" s="8">
        <v>48</v>
      </c>
      <c r="C187" s="8">
        <v>4896</v>
      </c>
      <c r="D187" s="8" t="s">
        <v>569</v>
      </c>
      <c r="E187" s="19">
        <v>0</v>
      </c>
      <c r="F187" s="19">
        <v>0</v>
      </c>
      <c r="G187" s="19">
        <v>0</v>
      </c>
      <c r="H187" s="19">
        <v>0</v>
      </c>
      <c r="I187" s="19">
        <v>164654.79999999999</v>
      </c>
      <c r="J187" s="19">
        <v>0</v>
      </c>
      <c r="K187" s="19">
        <v>0</v>
      </c>
      <c r="L187" s="19">
        <v>0</v>
      </c>
      <c r="M187" s="19">
        <v>0</v>
      </c>
      <c r="N187" s="19">
        <v>0</v>
      </c>
      <c r="O187" s="19">
        <v>63099.54</v>
      </c>
      <c r="P187" s="19">
        <v>0</v>
      </c>
      <c r="Q187" s="19">
        <v>0</v>
      </c>
      <c r="R187" s="19">
        <v>0</v>
      </c>
      <c r="S187" s="19">
        <v>0</v>
      </c>
      <c r="T187" s="19">
        <v>0</v>
      </c>
      <c r="U187" s="19">
        <v>0</v>
      </c>
      <c r="V187" s="19">
        <v>0</v>
      </c>
      <c r="W187" s="19">
        <v>0</v>
      </c>
      <c r="X187" s="19">
        <v>0</v>
      </c>
      <c r="Y187" s="19">
        <v>0</v>
      </c>
      <c r="Z187" s="19">
        <v>0</v>
      </c>
      <c r="AA187" s="19">
        <v>0</v>
      </c>
      <c r="AB187" s="19">
        <v>0</v>
      </c>
      <c r="AC187" s="19">
        <v>0</v>
      </c>
      <c r="AD187" s="19">
        <v>0</v>
      </c>
      <c r="AE187" s="19">
        <v>0</v>
      </c>
      <c r="AF187" s="19">
        <v>0</v>
      </c>
      <c r="AG187" s="19">
        <v>0</v>
      </c>
      <c r="AH187" s="19">
        <v>0</v>
      </c>
      <c r="AI187" s="19">
        <v>0</v>
      </c>
      <c r="AJ187" s="19">
        <v>0</v>
      </c>
      <c r="AK187" s="19">
        <v>0</v>
      </c>
      <c r="AL187" s="19">
        <v>0</v>
      </c>
      <c r="AM187" s="19">
        <v>0</v>
      </c>
      <c r="AN187" s="19">
        <v>0</v>
      </c>
      <c r="AO187" s="19">
        <v>0</v>
      </c>
      <c r="AP187" s="19">
        <v>0</v>
      </c>
      <c r="AQ187" s="19">
        <v>0</v>
      </c>
      <c r="AR187" s="19">
        <v>0</v>
      </c>
      <c r="AS187" s="19">
        <v>0</v>
      </c>
      <c r="AT187" s="19">
        <v>0</v>
      </c>
      <c r="AU187" s="19">
        <v>0</v>
      </c>
      <c r="AV187" s="19">
        <v>633</v>
      </c>
      <c r="AW187" s="19">
        <v>0</v>
      </c>
      <c r="AX187" s="19">
        <v>0</v>
      </c>
      <c r="AY187" s="19">
        <v>0</v>
      </c>
      <c r="AZ187" s="19"/>
      <c r="BA187" s="19">
        <v>0</v>
      </c>
      <c r="BB187" s="19"/>
      <c r="BC187" s="19">
        <v>0</v>
      </c>
      <c r="BD187" s="19">
        <f t="shared" si="70"/>
        <v>228387.34</v>
      </c>
      <c r="BE187" s="19">
        <f t="shared" si="71"/>
        <v>227754.34</v>
      </c>
      <c r="BF187" s="19">
        <f t="shared" si="72"/>
        <v>0</v>
      </c>
      <c r="BG187" s="19">
        <f t="shared" si="73"/>
        <v>633</v>
      </c>
    </row>
    <row r="188" spans="1:59" x14ac:dyDescent="0.2">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c r="BG188" s="19"/>
    </row>
    <row r="189" spans="1:59" x14ac:dyDescent="0.2">
      <c r="A189" s="8">
        <v>9</v>
      </c>
      <c r="B189" s="8">
        <v>90</v>
      </c>
      <c r="C189" s="8">
        <v>9031</v>
      </c>
      <c r="D189" s="8" t="s">
        <v>289</v>
      </c>
      <c r="E189" s="19">
        <v>0</v>
      </c>
      <c r="F189" s="19">
        <v>0</v>
      </c>
      <c r="G189" s="19">
        <v>0</v>
      </c>
      <c r="H189" s="19">
        <v>0</v>
      </c>
      <c r="I189" s="19">
        <v>0</v>
      </c>
      <c r="J189" s="19">
        <v>0</v>
      </c>
      <c r="K189" s="19">
        <v>0</v>
      </c>
      <c r="L189" s="19">
        <v>0</v>
      </c>
      <c r="M189" s="19">
        <v>0</v>
      </c>
      <c r="N189" s="19">
        <v>0</v>
      </c>
      <c r="O189" s="19">
        <v>0</v>
      </c>
      <c r="P189" s="19">
        <v>0</v>
      </c>
      <c r="Q189" s="19">
        <v>0</v>
      </c>
      <c r="R189" s="19">
        <v>0</v>
      </c>
      <c r="S189" s="19">
        <v>0</v>
      </c>
      <c r="T189" s="19">
        <v>0</v>
      </c>
      <c r="U189" s="19">
        <v>0</v>
      </c>
      <c r="V189" s="19">
        <v>0</v>
      </c>
      <c r="W189" s="19">
        <v>0</v>
      </c>
      <c r="X189" s="19">
        <v>0</v>
      </c>
      <c r="Y189" s="19">
        <v>0</v>
      </c>
      <c r="Z189" s="19">
        <v>0</v>
      </c>
      <c r="AA189" s="19">
        <v>0</v>
      </c>
      <c r="AB189" s="19">
        <v>0</v>
      </c>
      <c r="AC189" s="19">
        <v>0</v>
      </c>
      <c r="AD189" s="19">
        <v>0</v>
      </c>
      <c r="AE189" s="19">
        <v>0</v>
      </c>
      <c r="AF189" s="19">
        <v>0</v>
      </c>
      <c r="AG189" s="19">
        <v>0</v>
      </c>
      <c r="AH189" s="19">
        <v>0</v>
      </c>
      <c r="AI189" s="19">
        <v>0</v>
      </c>
      <c r="AJ189" s="19">
        <v>0</v>
      </c>
      <c r="AK189" s="19">
        <v>0</v>
      </c>
      <c r="AL189" s="19">
        <v>0</v>
      </c>
      <c r="AM189" s="19">
        <v>0</v>
      </c>
      <c r="AN189" s="19">
        <v>0</v>
      </c>
      <c r="AO189" s="19">
        <v>0</v>
      </c>
      <c r="AP189" s="19">
        <v>0</v>
      </c>
      <c r="AQ189" s="19">
        <v>0</v>
      </c>
      <c r="AR189" s="19">
        <v>0</v>
      </c>
      <c r="AS189" s="19">
        <v>0</v>
      </c>
      <c r="AT189" s="19">
        <v>0</v>
      </c>
      <c r="AU189" s="19">
        <v>0</v>
      </c>
      <c r="AV189" s="19">
        <v>0</v>
      </c>
      <c r="AW189" s="19">
        <v>0</v>
      </c>
      <c r="AX189" s="19">
        <v>0</v>
      </c>
      <c r="AY189" s="19">
        <v>0</v>
      </c>
      <c r="AZ189" s="19">
        <v>0</v>
      </c>
      <c r="BA189" s="19">
        <v>0</v>
      </c>
      <c r="BB189" s="19">
        <v>0</v>
      </c>
      <c r="BC189" s="19">
        <v>0</v>
      </c>
      <c r="BD189" s="19">
        <f t="shared" si="70"/>
        <v>0</v>
      </c>
      <c r="BE189" s="19">
        <f t="shared" si="71"/>
        <v>0</v>
      </c>
      <c r="BF189" s="19">
        <f t="shared" si="72"/>
        <v>0</v>
      </c>
      <c r="BG189" s="19">
        <f t="shared" si="73"/>
        <v>0</v>
      </c>
    </row>
    <row r="190" spans="1:59" x14ac:dyDescent="0.2">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c r="BG190" s="19"/>
    </row>
    <row r="191" spans="1:59" ht="15" x14ac:dyDescent="0.25">
      <c r="A191" s="8">
        <v>9</v>
      </c>
      <c r="B191" s="8">
        <v>90</v>
      </c>
      <c r="C191" s="8">
        <v>9029</v>
      </c>
      <c r="D191" s="8" t="s">
        <v>826</v>
      </c>
      <c r="E191" s="19">
        <v>0</v>
      </c>
      <c r="F191" s="19">
        <v>0</v>
      </c>
      <c r="G191" s="19">
        <v>0</v>
      </c>
      <c r="H191" s="19">
        <v>0</v>
      </c>
      <c r="I191" s="19">
        <v>0</v>
      </c>
      <c r="J191" s="19">
        <v>0</v>
      </c>
      <c r="K191" s="19">
        <v>0</v>
      </c>
      <c r="L191" s="19">
        <v>0</v>
      </c>
      <c r="M191" s="19">
        <v>0</v>
      </c>
      <c r="N191" s="19">
        <v>0</v>
      </c>
      <c r="O191" s="19">
        <v>0</v>
      </c>
      <c r="P191" s="19">
        <v>0</v>
      </c>
      <c r="Q191" s="19">
        <v>0</v>
      </c>
      <c r="R191" s="19">
        <v>0</v>
      </c>
      <c r="S191" s="19">
        <v>0</v>
      </c>
      <c r="T191" s="19">
        <v>0</v>
      </c>
      <c r="U191" s="19">
        <v>0</v>
      </c>
      <c r="V191" s="19">
        <v>0</v>
      </c>
      <c r="W191" s="19">
        <v>0</v>
      </c>
      <c r="X191" s="19">
        <v>0</v>
      </c>
      <c r="Y191" s="19">
        <v>0</v>
      </c>
      <c r="Z191" s="19">
        <v>0</v>
      </c>
      <c r="AA191" s="19">
        <v>0</v>
      </c>
      <c r="AB191" s="19">
        <v>0</v>
      </c>
      <c r="AC191" s="19">
        <v>0</v>
      </c>
      <c r="AD191" s="19">
        <v>0</v>
      </c>
      <c r="AE191" s="19">
        <v>0</v>
      </c>
      <c r="AF191" s="19">
        <v>0</v>
      </c>
      <c r="AG191" s="19">
        <v>0</v>
      </c>
      <c r="AH191" s="19">
        <v>0</v>
      </c>
      <c r="AI191" s="19">
        <v>0</v>
      </c>
      <c r="AJ191" s="19">
        <v>0</v>
      </c>
      <c r="AK191" s="19">
        <v>0</v>
      </c>
      <c r="AL191" s="19">
        <v>0</v>
      </c>
      <c r="AM191" s="19">
        <v>0</v>
      </c>
      <c r="AN191" s="19">
        <v>0</v>
      </c>
      <c r="AO191" s="19">
        <v>0</v>
      </c>
      <c r="AP191" s="19">
        <v>0</v>
      </c>
      <c r="AQ191" s="19">
        <v>0</v>
      </c>
      <c r="AR191" s="19">
        <v>0</v>
      </c>
      <c r="AS191" s="19">
        <v>0</v>
      </c>
      <c r="AT191" s="19">
        <v>0</v>
      </c>
      <c r="AU191" s="19">
        <v>0</v>
      </c>
      <c r="AV191" s="19">
        <v>0</v>
      </c>
      <c r="AW191" s="19">
        <v>0</v>
      </c>
      <c r="AX191" s="19">
        <v>0</v>
      </c>
      <c r="AY191" s="19">
        <v>0</v>
      </c>
      <c r="AZ191" s="19">
        <v>0</v>
      </c>
      <c r="BA191" s="19">
        <v>0</v>
      </c>
      <c r="BB191" s="19">
        <v>0</v>
      </c>
      <c r="BC191" s="19">
        <v>0</v>
      </c>
      <c r="BD191" s="19">
        <f t="shared" si="70"/>
        <v>0</v>
      </c>
      <c r="BE191" s="19">
        <f t="shared" si="71"/>
        <v>0</v>
      </c>
      <c r="BF191" s="19">
        <f t="shared" si="72"/>
        <v>0</v>
      </c>
      <c r="BG191" s="19">
        <f t="shared" si="73"/>
        <v>0</v>
      </c>
    </row>
    <row r="192" spans="1:59" x14ac:dyDescent="0.2">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c r="BG192" s="19"/>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D4" workbookViewId="0">
      <selection activeCell="A3" sqref="A3"/>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88" t="s">
        <v>59</v>
      </c>
      <c r="B4" s="13"/>
    </row>
    <row r="5" spans="1:2" ht="15" x14ac:dyDescent="0.25">
      <c r="A5" s="16" t="s">
        <v>740</v>
      </c>
      <c r="B5" s="13">
        <f>'4.1 Comptes 2023 natures'!BD6</f>
        <v>74638884.320000023</v>
      </c>
    </row>
    <row r="6" spans="1:2" ht="15" x14ac:dyDescent="0.25">
      <c r="A6" s="16" t="s">
        <v>741</v>
      </c>
      <c r="B6" s="13">
        <f>'4.1 Comptes 2023 natures'!BD16</f>
        <v>96876067.639999971</v>
      </c>
    </row>
    <row r="7" spans="1:2" ht="15" x14ac:dyDescent="0.25">
      <c r="A7" s="16" t="s">
        <v>742</v>
      </c>
      <c r="B7" s="13">
        <f>'4.1 Comptes 2023 natures'!BD28</f>
        <v>24783612.750000004</v>
      </c>
    </row>
    <row r="8" spans="1:2" ht="15" x14ac:dyDescent="0.25">
      <c r="A8" s="16" t="s">
        <v>743</v>
      </c>
      <c r="B8" s="13">
        <f>'4.1 Comptes 2023 natures'!BD32</f>
        <v>10097855.279999999</v>
      </c>
    </row>
    <row r="9" spans="1:2" ht="15" x14ac:dyDescent="0.25">
      <c r="A9" s="16" t="s">
        <v>744</v>
      </c>
      <c r="B9" s="13">
        <f>'4.1 Comptes 2023 natures'!BD40</f>
        <v>5157290.8100000005</v>
      </c>
    </row>
    <row r="10" spans="1:2" ht="15" x14ac:dyDescent="0.25">
      <c r="A10" s="16" t="s">
        <v>745</v>
      </c>
      <c r="B10" s="13">
        <f>'4.1 Comptes 2023 natures'!BD44</f>
        <v>201695653.33000004</v>
      </c>
    </row>
    <row r="11" spans="1:2" ht="15" x14ac:dyDescent="0.25">
      <c r="A11" s="16" t="s">
        <v>746</v>
      </c>
      <c r="B11" s="13">
        <f>'4.1 Comptes 2023 natures'!BD54</f>
        <v>2662318.7500000009</v>
      </c>
    </row>
    <row r="12" spans="1:2" ht="15" x14ac:dyDescent="0.25">
      <c r="A12" s="16" t="s">
        <v>747</v>
      </c>
      <c r="B12" s="13">
        <f>'4.1 Comptes 2023 natures'!BD57</f>
        <v>11718850.829999998</v>
      </c>
    </row>
    <row r="13" spans="1:2" ht="15" x14ac:dyDescent="0.25">
      <c r="A13" s="16" t="s">
        <v>748</v>
      </c>
      <c r="B13" s="13">
        <f>'4.1 Comptes 2023 natures'!BD65</f>
        <v>7962557.8100000005</v>
      </c>
    </row>
    <row r="14" spans="1:2" x14ac:dyDescent="0.2">
      <c r="A14" s="17"/>
      <c r="B14" s="13"/>
    </row>
    <row r="15" spans="1:2" ht="20.25" x14ac:dyDescent="0.3">
      <c r="A15" s="88" t="s">
        <v>133</v>
      </c>
      <c r="B15" s="13"/>
    </row>
    <row r="16" spans="1:2" ht="15" x14ac:dyDescent="0.25">
      <c r="A16" s="16" t="s">
        <v>749</v>
      </c>
      <c r="B16" s="13">
        <f>'4.1 Comptes 2023 natures'!BD77</f>
        <v>240024635.81999993</v>
      </c>
    </row>
    <row r="17" spans="1:2" ht="15" x14ac:dyDescent="0.25">
      <c r="A17" s="16" t="s">
        <v>750</v>
      </c>
      <c r="B17" s="13">
        <f>'4.1 Comptes 2023 natures'!BD83</f>
        <v>1087943.7999999998</v>
      </c>
    </row>
    <row r="18" spans="1:2" ht="15" x14ac:dyDescent="0.25">
      <c r="A18" s="16" t="s">
        <v>751</v>
      </c>
      <c r="B18" s="13">
        <f>'4.1 Comptes 2023 natures'!BD89</f>
        <v>101173292.48</v>
      </c>
    </row>
    <row r="19" spans="1:2" ht="15" x14ac:dyDescent="0.25">
      <c r="A19" s="16" t="s">
        <v>752</v>
      </c>
      <c r="B19" s="13">
        <f>'4.1 Comptes 2023 natures'!BD100</f>
        <v>2342089.59</v>
      </c>
    </row>
    <row r="20" spans="1:2" ht="15" x14ac:dyDescent="0.25">
      <c r="A20" s="16" t="s">
        <v>753</v>
      </c>
      <c r="B20" s="13">
        <f>'4.1 Comptes 2023 natures'!BD106</f>
        <v>19052522.049999997</v>
      </c>
    </row>
    <row r="21" spans="1:2" ht="15" x14ac:dyDescent="0.25">
      <c r="A21" s="16" t="s">
        <v>754</v>
      </c>
      <c r="B21" s="13">
        <f>'4.1 Comptes 2023 natures'!BD118</f>
        <v>2705214.36</v>
      </c>
    </row>
    <row r="22" spans="1:2" ht="15" x14ac:dyDescent="0.25">
      <c r="A22" s="16" t="s">
        <v>755</v>
      </c>
      <c r="B22" s="13">
        <f>'4.1 Comptes 2023 natures'!BD122</f>
        <v>63761570.539999992</v>
      </c>
    </row>
    <row r="23" spans="1:2" ht="15" x14ac:dyDescent="0.25">
      <c r="A23" s="16" t="s">
        <v>756</v>
      </c>
      <c r="B23" s="13">
        <f>'4.1 Comptes 2023 natures'!BD129</f>
        <v>2823492.4000000004</v>
      </c>
    </row>
    <row r="24" spans="1:2" ht="15" x14ac:dyDescent="0.25">
      <c r="A24" s="16" t="s">
        <v>757</v>
      </c>
      <c r="B24" s="13">
        <f>'4.1 Comptes 2023 natures'!BD132</f>
        <v>1955015.09</v>
      </c>
    </row>
    <row r="25" spans="1:2" ht="15" x14ac:dyDescent="0.25">
      <c r="A25" s="16" t="s">
        <v>758</v>
      </c>
      <c r="B25" s="13">
        <f>'4.1 Comptes 2023 natures'!BD141</f>
        <v>7971794.1600000001</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0"/>
  <sheetViews>
    <sheetView workbookViewId="0">
      <selection activeCell="A3" sqref="A3"/>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89" t="s">
        <v>737</v>
      </c>
      <c r="B1" s="89"/>
      <c r="C1" s="89"/>
    </row>
    <row r="2" spans="1:7" ht="15.75" x14ac:dyDescent="0.25">
      <c r="A2" s="89"/>
      <c r="B2" s="89"/>
      <c r="C2" s="89"/>
    </row>
    <row r="3" spans="1:7" ht="15.75" x14ac:dyDescent="0.25">
      <c r="A3" s="197" t="s">
        <v>66</v>
      </c>
      <c r="B3" s="30" t="s">
        <v>833</v>
      </c>
      <c r="C3" s="30" t="s">
        <v>834</v>
      </c>
      <c r="D3" s="30" t="s">
        <v>194</v>
      </c>
      <c r="E3" s="30" t="s">
        <v>837</v>
      </c>
      <c r="F3" s="30" t="s">
        <v>832</v>
      </c>
      <c r="G3" s="30" t="s">
        <v>835</v>
      </c>
    </row>
    <row r="4" spans="1:7" ht="15" x14ac:dyDescent="0.25">
      <c r="A4" s="7"/>
      <c r="B4" s="29" t="s">
        <v>829</v>
      </c>
      <c r="C4" s="29" t="s">
        <v>830</v>
      </c>
      <c r="D4" s="29" t="s">
        <v>738</v>
      </c>
      <c r="E4" s="29" t="s">
        <v>739</v>
      </c>
      <c r="F4" s="29" t="s">
        <v>831</v>
      </c>
      <c r="G4" s="29" t="s">
        <v>836</v>
      </c>
    </row>
    <row r="5" spans="1:7" x14ac:dyDescent="0.2">
      <c r="A5" s="90" t="s">
        <v>55</v>
      </c>
      <c r="B5" s="19">
        <f>'4.1 Comptes 2023 natures'!E155</f>
        <v>23179.87</v>
      </c>
      <c r="C5" s="196">
        <f>'4.1 Comptes 2023 natures'!E156</f>
        <v>274400.28000000003</v>
      </c>
      <c r="D5" s="19">
        <f>'4.1 Comptes 2023 natures'!E154</f>
        <v>297580.15000000002</v>
      </c>
      <c r="E5" s="19">
        <f>'4.9 Comptes 2023 par habitant'!E154</f>
        <v>309.65676378772116</v>
      </c>
      <c r="F5" s="13">
        <f>'4.1 Comptes 2023 natures'!E63</f>
        <v>0</v>
      </c>
      <c r="G5" s="13">
        <f>'4.1 Comptes 2023 natures'!E139</f>
        <v>7472.87</v>
      </c>
    </row>
    <row r="6" spans="1:7" x14ac:dyDescent="0.2">
      <c r="A6" s="90" t="s">
        <v>17</v>
      </c>
      <c r="B6" s="19">
        <f>'4.1 Comptes 2023 natures'!F155</f>
        <v>114823.3</v>
      </c>
      <c r="C6" s="196">
        <f>'4.1 Comptes 2023 natures'!F156</f>
        <v>51613.27</v>
      </c>
      <c r="D6" s="19">
        <f>'4.1 Comptes 2023 natures'!F154</f>
        <v>166436.57</v>
      </c>
      <c r="E6" s="19">
        <f>'4.9 Comptes 2023 par habitant'!F154</f>
        <v>637.68800766283528</v>
      </c>
      <c r="F6" s="13">
        <f>'4.1 Comptes 2023 natures'!F63</f>
        <v>0</v>
      </c>
      <c r="G6" s="13">
        <f>'4.1 Comptes 2023 natures'!F139</f>
        <v>0</v>
      </c>
    </row>
    <row r="7" spans="1:7" x14ac:dyDescent="0.2">
      <c r="A7" s="90" t="s">
        <v>56</v>
      </c>
      <c r="B7" s="19">
        <f>'4.1 Comptes 2023 natures'!G155</f>
        <v>51061.06</v>
      </c>
      <c r="C7" s="196">
        <f>'4.1 Comptes 2023 natures'!G156</f>
        <v>60359.21</v>
      </c>
      <c r="D7" s="19">
        <f>'4.1 Comptes 2023 natures'!G154</f>
        <v>111420.26999999999</v>
      </c>
      <c r="E7" s="19">
        <f>'4.9 Comptes 2023 par habitant'!G154</f>
        <v>225.5471052631579</v>
      </c>
      <c r="F7" s="13">
        <f>'4.1 Comptes 2023 natures'!G63</f>
        <v>0</v>
      </c>
      <c r="G7" s="13">
        <f>'4.1 Comptes 2023 natures'!G139</f>
        <v>0</v>
      </c>
    </row>
    <row r="8" spans="1:7" x14ac:dyDescent="0.2">
      <c r="A8" s="90" t="s">
        <v>52</v>
      </c>
      <c r="B8" s="19">
        <f>'4.1 Comptes 2023 natures'!H155</f>
        <v>-62293.63</v>
      </c>
      <c r="C8" s="196">
        <f>'4.1 Comptes 2023 natures'!H156</f>
        <v>185669.36</v>
      </c>
      <c r="D8" s="19">
        <f>'4.1 Comptes 2023 natures'!H154</f>
        <v>123375.72999999998</v>
      </c>
      <c r="E8" s="19">
        <f>'4.9 Comptes 2023 par habitant'!H154</f>
        <v>277.24883146067418</v>
      </c>
      <c r="F8" s="13">
        <f>'4.1 Comptes 2023 natures'!H63</f>
        <v>0</v>
      </c>
      <c r="G8" s="13">
        <f>'4.1 Comptes 2023 natures'!H139</f>
        <v>2572.4499999999998</v>
      </c>
    </row>
    <row r="9" spans="1:7" x14ac:dyDescent="0.2">
      <c r="A9" s="90" t="s">
        <v>32</v>
      </c>
      <c r="B9" s="19">
        <f>'4.1 Comptes 2023 natures'!I155</f>
        <v>33918.5</v>
      </c>
      <c r="C9" s="196">
        <f>'4.1 Comptes 2023 natures'!I156</f>
        <v>123719.15</v>
      </c>
      <c r="D9" s="19">
        <f>'4.1 Comptes 2023 natures'!I154</f>
        <v>157637.65</v>
      </c>
      <c r="E9" s="19">
        <f>'4.9 Comptes 2023 par habitant'!I154</f>
        <v>42.988178347422959</v>
      </c>
      <c r="F9" s="13">
        <f>'4.1 Comptes 2023 natures'!I63</f>
        <v>150000</v>
      </c>
      <c r="G9" s="13">
        <f>'4.1 Comptes 2023 natures'!I139</f>
        <v>164654.79999999999</v>
      </c>
    </row>
    <row r="10" spans="1:7" x14ac:dyDescent="0.2">
      <c r="A10" s="90" t="s">
        <v>10</v>
      </c>
      <c r="B10" s="19">
        <f>'4.1 Comptes 2023 natures'!J155</f>
        <v>490967.6</v>
      </c>
      <c r="C10" s="196">
        <f>'4.1 Comptes 2023 natures'!J156</f>
        <v>-213981.23</v>
      </c>
      <c r="D10" s="19">
        <f>'4.1 Comptes 2023 natures'!J154</f>
        <v>276986.37</v>
      </c>
      <c r="E10" s="19">
        <f>'4.9 Comptes 2023 par habitant'!J154</f>
        <v>81.562535335689034</v>
      </c>
      <c r="F10" s="13">
        <f>'4.1 Comptes 2023 natures'!J63</f>
        <v>190359.86</v>
      </c>
      <c r="G10" s="13">
        <f>'4.1 Comptes 2023 natures'!J139</f>
        <v>0</v>
      </c>
    </row>
    <row r="11" spans="1:7" x14ac:dyDescent="0.2">
      <c r="A11" s="90" t="s">
        <v>14</v>
      </c>
      <c r="B11" s="19">
        <f>'4.1 Comptes 2023 natures'!K155</f>
        <v>15593.4</v>
      </c>
      <c r="C11" s="196">
        <f>'4.1 Comptes 2023 natures'!K156</f>
        <v>28753.05</v>
      </c>
      <c r="D11" s="19">
        <f>'4.1 Comptes 2023 natures'!K154</f>
        <v>44346.45</v>
      </c>
      <c r="E11" s="19">
        <f>'4.9 Comptes 2023 par habitant'!K154</f>
        <v>16.279900881057266</v>
      </c>
      <c r="F11" s="13">
        <f>'4.1 Comptes 2023 natures'!K63</f>
        <v>900000</v>
      </c>
      <c r="G11" s="13">
        <f>'4.1 Comptes 2023 natures'!K139</f>
        <v>14467.75</v>
      </c>
    </row>
    <row r="12" spans="1:7" x14ac:dyDescent="0.2">
      <c r="A12" s="90" t="s">
        <v>27</v>
      </c>
      <c r="B12" s="19">
        <f>'4.1 Comptes 2023 natures'!L155</f>
        <v>-2174361.6000000001</v>
      </c>
      <c r="C12" s="196">
        <f>'4.1 Comptes 2023 natures'!L156</f>
        <v>1256534.8899999999</v>
      </c>
      <c r="D12" s="19">
        <f>'4.1 Comptes 2023 natures'!L154</f>
        <v>-917826.7100000002</v>
      </c>
      <c r="E12" s="19">
        <f>'4.9 Comptes 2023 par habitant'!L154</f>
        <v>-72.048568176465977</v>
      </c>
      <c r="F12" s="13">
        <f>'4.1 Comptes 2023 natures'!L63</f>
        <v>0</v>
      </c>
      <c r="G12" s="13">
        <f>'4.1 Comptes 2023 natures'!L139</f>
        <v>1253909</v>
      </c>
    </row>
    <row r="13" spans="1:7" x14ac:dyDescent="0.2">
      <c r="A13" s="90" t="s">
        <v>41</v>
      </c>
      <c r="B13" s="19">
        <f>'4.1 Comptes 2023 natures'!M155</f>
        <v>30502.48</v>
      </c>
      <c r="C13" s="196">
        <f>'4.1 Comptes 2023 natures'!M156</f>
        <v>205982.75</v>
      </c>
      <c r="D13" s="19">
        <f>'4.1 Comptes 2023 natures'!M154</f>
        <v>236485.23</v>
      </c>
      <c r="E13" s="19">
        <f>'4.9 Comptes 2023 par habitant'!M154</f>
        <v>172.36532798833818</v>
      </c>
      <c r="F13" s="13">
        <f>'4.1 Comptes 2023 natures'!M63</f>
        <v>0</v>
      </c>
      <c r="G13" s="13">
        <f>'4.1 Comptes 2023 natures'!M139</f>
        <v>10700</v>
      </c>
    </row>
    <row r="14" spans="1:7" x14ac:dyDescent="0.2">
      <c r="A14" s="90" t="s">
        <v>22</v>
      </c>
      <c r="B14" s="19">
        <f>'4.1 Comptes 2023 natures'!N155</f>
        <v>-15903.22</v>
      </c>
      <c r="C14" s="196">
        <f>'4.1 Comptes 2023 natures'!N156</f>
        <v>5534.34</v>
      </c>
      <c r="D14" s="19">
        <f>'4.1 Comptes 2023 natures'!N154</f>
        <v>-10368.879999999999</v>
      </c>
      <c r="E14" s="19">
        <f>'4.9 Comptes 2023 par habitant'!N154</f>
        <v>-88.622905982905991</v>
      </c>
      <c r="F14" s="13">
        <f>'4.1 Comptes 2023 natures'!N63</f>
        <v>0</v>
      </c>
      <c r="G14" s="13">
        <f>'4.1 Comptes 2023 natures'!N139</f>
        <v>0</v>
      </c>
    </row>
    <row r="15" spans="1:7" x14ac:dyDescent="0.2">
      <c r="A15" s="90" t="s">
        <v>21</v>
      </c>
      <c r="B15" s="19">
        <f>'4.1 Comptes 2023 natures'!O155</f>
        <v>-610295.42000000004</v>
      </c>
      <c r="C15" s="196">
        <f>'4.1 Comptes 2023 natures'!O156</f>
        <v>223698.82</v>
      </c>
      <c r="D15" s="19">
        <f>'4.1 Comptes 2023 natures'!O154</f>
        <v>-386596.60000000003</v>
      </c>
      <c r="E15" s="19">
        <f>'4.9 Comptes 2023 par habitant'!O154</f>
        <v>-52.512442271121984</v>
      </c>
      <c r="F15" s="13">
        <f>'4.1 Comptes 2023 natures'!O63</f>
        <v>0</v>
      </c>
      <c r="G15" s="13">
        <f>'4.1 Comptes 2023 natures'!O139</f>
        <v>413099.54</v>
      </c>
    </row>
    <row r="16" spans="1:7" x14ac:dyDescent="0.2">
      <c r="A16" s="90" t="s">
        <v>12</v>
      </c>
      <c r="B16" s="19">
        <f>'4.1 Comptes 2023 natures'!P155</f>
        <v>129779.38</v>
      </c>
      <c r="C16" s="196">
        <f>'4.1 Comptes 2023 natures'!P156</f>
        <v>64898.12</v>
      </c>
      <c r="D16" s="19">
        <f>'4.1 Comptes 2023 natures'!P154</f>
        <v>194677.5</v>
      </c>
      <c r="E16" s="19">
        <f>'4.9 Comptes 2023 par habitant'!P154</f>
        <v>363.88317757009349</v>
      </c>
      <c r="F16" s="13">
        <f>'4.1 Comptes 2023 natures'!P63</f>
        <v>0</v>
      </c>
      <c r="G16" s="13">
        <f>'4.1 Comptes 2023 natures'!P139</f>
        <v>3001.3</v>
      </c>
    </row>
    <row r="17" spans="1:7" x14ac:dyDescent="0.2">
      <c r="A17" s="90" t="s">
        <v>16</v>
      </c>
      <c r="B17" s="19">
        <f>'4.1 Comptes 2023 natures'!Q155</f>
        <v>-40694.730000000003</v>
      </c>
      <c r="C17" s="196">
        <f>'4.1 Comptes 2023 natures'!Q156</f>
        <v>24850.27</v>
      </c>
      <c r="D17" s="19">
        <f>'4.1 Comptes 2023 natures'!Q154</f>
        <v>-15844.460000000003</v>
      </c>
      <c r="E17" s="19">
        <f>'4.9 Comptes 2023 par habitant'!Q154</f>
        <v>-141.46839285714285</v>
      </c>
      <c r="F17" s="13">
        <f>'4.1 Comptes 2023 natures'!Q63</f>
        <v>0</v>
      </c>
      <c r="G17" s="13">
        <f>'4.1 Comptes 2023 natures'!Q139</f>
        <v>0</v>
      </c>
    </row>
    <row r="18" spans="1:7" x14ac:dyDescent="0.2">
      <c r="A18" s="90" t="s">
        <v>42</v>
      </c>
      <c r="B18" s="19">
        <f>'4.1 Comptes 2023 natures'!R155</f>
        <v>50997.63</v>
      </c>
      <c r="C18" s="196">
        <f>'4.1 Comptes 2023 natures'!R156</f>
        <v>-48281.74</v>
      </c>
      <c r="D18" s="19">
        <f>'4.1 Comptes 2023 natures'!R154</f>
        <v>2715.8899999999994</v>
      </c>
      <c r="E18" s="19">
        <f>'4.9 Comptes 2023 par habitant'!R154</f>
        <v>6.4664047619047693</v>
      </c>
      <c r="F18" s="13">
        <f>'4.1 Comptes 2023 natures'!R63</f>
        <v>130000</v>
      </c>
      <c r="G18" s="13">
        <f>'4.1 Comptes 2023 natures'!R139</f>
        <v>0</v>
      </c>
    </row>
    <row r="19" spans="1:7" x14ac:dyDescent="0.2">
      <c r="A19" s="90" t="s">
        <v>39</v>
      </c>
      <c r="B19" s="19">
        <f>'4.1 Comptes 2023 natures'!S155</f>
        <v>-37329.83</v>
      </c>
      <c r="C19" s="196">
        <f>'4.1 Comptes 2023 natures'!S156</f>
        <v>-26048.83</v>
      </c>
      <c r="D19" s="19">
        <f>'4.1 Comptes 2023 natures'!S154</f>
        <v>-63378.66</v>
      </c>
      <c r="E19" s="19">
        <f>'4.9 Comptes 2023 par habitant'!S154</f>
        <v>-181.60074498567337</v>
      </c>
      <c r="F19" s="13">
        <f>'4.1 Comptes 2023 natures'!S63</f>
        <v>0</v>
      </c>
      <c r="G19" s="13">
        <f>'4.1 Comptes 2023 natures'!S139</f>
        <v>0</v>
      </c>
    </row>
    <row r="20" spans="1:7" x14ac:dyDescent="0.2">
      <c r="A20" s="90" t="s">
        <v>30</v>
      </c>
      <c r="B20" s="19">
        <f>'4.1 Comptes 2023 natures'!T155</f>
        <v>60782.33</v>
      </c>
      <c r="C20" s="196">
        <f>'4.1 Comptes 2023 natures'!T156</f>
        <v>58988.42</v>
      </c>
      <c r="D20" s="19">
        <f>'4.1 Comptes 2023 natures'!T154</f>
        <v>119770.75</v>
      </c>
      <c r="E20" s="19">
        <f>'4.9 Comptes 2023 par habitant'!T154</f>
        <v>163.39802182810368</v>
      </c>
      <c r="F20" s="13">
        <f>'4.1 Comptes 2023 natures'!T63</f>
        <v>0</v>
      </c>
      <c r="G20" s="13">
        <f>'4.1 Comptes 2023 natures'!T139</f>
        <v>8700</v>
      </c>
    </row>
    <row r="21" spans="1:7" x14ac:dyDescent="0.2">
      <c r="A21" s="90" t="s">
        <v>11</v>
      </c>
      <c r="B21" s="19">
        <f>'4.1 Comptes 2023 natures'!U155</f>
        <v>9611.35</v>
      </c>
      <c r="C21" s="196">
        <f>'4.1 Comptes 2023 natures'!U156</f>
        <v>19001.490000000002</v>
      </c>
      <c r="D21" s="19">
        <f>'4.1 Comptes 2023 natures'!U154</f>
        <v>28612.840000000004</v>
      </c>
      <c r="E21" s="19">
        <f>'4.9 Comptes 2023 par habitant'!U154</f>
        <v>104.80893772893774</v>
      </c>
      <c r="F21" s="13">
        <f>'4.1 Comptes 2023 natures'!U63</f>
        <v>20000</v>
      </c>
      <c r="G21" s="13">
        <f>'4.1 Comptes 2023 natures'!U139</f>
        <v>667.55</v>
      </c>
    </row>
    <row r="22" spans="1:7" x14ac:dyDescent="0.2">
      <c r="A22" s="90" t="s">
        <v>58</v>
      </c>
      <c r="B22" s="19">
        <f>'4.1 Comptes 2023 natures'!V155</f>
        <v>25754.84</v>
      </c>
      <c r="C22" s="196">
        <f>'4.1 Comptes 2023 natures'!V156</f>
        <v>27460.59</v>
      </c>
      <c r="D22" s="19">
        <f>'4.1 Comptes 2023 natures'!V154</f>
        <v>53215.43</v>
      </c>
      <c r="E22" s="19">
        <f>'4.9 Comptes 2023 par habitant'!V154</f>
        <v>123.46967517401393</v>
      </c>
      <c r="F22" s="13">
        <f>'4.1 Comptes 2023 natures'!V63</f>
        <v>30000</v>
      </c>
      <c r="G22" s="13">
        <f>'4.1 Comptes 2023 natures'!V139</f>
        <v>0</v>
      </c>
    </row>
    <row r="23" spans="1:7" x14ac:dyDescent="0.2">
      <c r="A23" s="90" t="s">
        <v>26</v>
      </c>
      <c r="B23" s="19">
        <f>'4.1 Comptes 2023 natures'!W155</f>
        <v>57003.82</v>
      </c>
      <c r="C23" s="196">
        <f>'4.1 Comptes 2023 natures'!W156</f>
        <v>111868.45</v>
      </c>
      <c r="D23" s="19">
        <f>'4.1 Comptes 2023 natures'!W154</f>
        <v>168872.27</v>
      </c>
      <c r="E23" s="19">
        <f>'4.9 Comptes 2023 par habitant'!W154</f>
        <v>51.65869379014989</v>
      </c>
      <c r="F23" s="13">
        <f>'4.1 Comptes 2023 natures'!W63</f>
        <v>500000</v>
      </c>
      <c r="G23" s="13">
        <f>'4.1 Comptes 2023 natures'!W139</f>
        <v>13302.8</v>
      </c>
    </row>
    <row r="24" spans="1:7" x14ac:dyDescent="0.2">
      <c r="A24" s="90" t="s">
        <v>29</v>
      </c>
      <c r="B24" s="19">
        <f>'4.1 Comptes 2023 natures'!X155</f>
        <v>43384.87</v>
      </c>
      <c r="C24" s="196">
        <f>'4.1 Comptes 2023 natures'!X156</f>
        <v>15751.6</v>
      </c>
      <c r="D24" s="19">
        <f>'4.1 Comptes 2023 natures'!X154</f>
        <v>59136.47</v>
      </c>
      <c r="E24" s="19">
        <f>'4.9 Comptes 2023 par habitant'!X154</f>
        <v>193.8900655737705</v>
      </c>
      <c r="F24" s="13">
        <f>'4.1 Comptes 2023 natures'!X63</f>
        <v>0</v>
      </c>
      <c r="G24" s="13">
        <f>'4.1 Comptes 2023 natures'!X139</f>
        <v>0</v>
      </c>
    </row>
    <row r="25" spans="1:7" x14ac:dyDescent="0.2">
      <c r="A25" s="90" t="s">
        <v>19</v>
      </c>
      <c r="B25" s="19">
        <f>'4.1 Comptes 2023 natures'!Y155</f>
        <v>935477.29</v>
      </c>
      <c r="C25" s="196">
        <f>'4.1 Comptes 2023 natures'!Y156</f>
        <v>151635.34</v>
      </c>
      <c r="D25" s="19">
        <f>'4.1 Comptes 2023 natures'!Y154</f>
        <v>1087112.6300000001</v>
      </c>
      <c r="E25" s="19">
        <f>'4.9 Comptes 2023 par habitant'!Y154</f>
        <v>868.30082268370609</v>
      </c>
      <c r="F25" s="13">
        <f>'4.1 Comptes 2023 natures'!Y63</f>
        <v>0</v>
      </c>
      <c r="G25" s="13">
        <f>'4.1 Comptes 2023 natures'!Y139</f>
        <v>0</v>
      </c>
    </row>
    <row r="26" spans="1:7" x14ac:dyDescent="0.2">
      <c r="A26" s="90" t="s">
        <v>44</v>
      </c>
      <c r="B26" s="19">
        <f>'4.1 Comptes 2023 natures'!Z155</f>
        <v>2357312.52</v>
      </c>
      <c r="C26" s="196">
        <f>'4.1 Comptes 2023 natures'!Z156</f>
        <v>319856.37</v>
      </c>
      <c r="D26" s="19">
        <f>'4.1 Comptes 2023 natures'!Z154</f>
        <v>2677168.89</v>
      </c>
      <c r="E26" s="19">
        <f>'4.9 Comptes 2023 par habitant'!Z154</f>
        <v>1630.431723507917</v>
      </c>
      <c r="F26" s="13">
        <f>'4.1 Comptes 2023 natures'!Z63</f>
        <v>3397569.32</v>
      </c>
      <c r="G26" s="13">
        <f>'4.1 Comptes 2023 natures'!Z139</f>
        <v>0</v>
      </c>
    </row>
    <row r="27" spans="1:7" x14ac:dyDescent="0.2">
      <c r="A27" s="90" t="s">
        <v>38</v>
      </c>
      <c r="B27" s="19">
        <f>'4.1 Comptes 2023 natures'!AA155</f>
        <v>-8997.33</v>
      </c>
      <c r="C27" s="196">
        <f>'4.1 Comptes 2023 natures'!AA156</f>
        <v>24625.58</v>
      </c>
      <c r="D27" s="19">
        <f>'4.1 Comptes 2023 natures'!AA154</f>
        <v>15628.250000000002</v>
      </c>
      <c r="E27" s="19">
        <f>'4.9 Comptes 2023 par habitant'!AA154</f>
        <v>104.88758389261747</v>
      </c>
      <c r="F27" s="13">
        <f>'4.1 Comptes 2023 natures'!AA63</f>
        <v>0</v>
      </c>
      <c r="G27" s="13">
        <f>'4.1 Comptes 2023 natures'!AA139</f>
        <v>0</v>
      </c>
    </row>
    <row r="28" spans="1:7" x14ac:dyDescent="0.2">
      <c r="A28" s="90" t="s">
        <v>18</v>
      </c>
      <c r="B28" s="19">
        <f>'4.1 Comptes 2023 natures'!AB155</f>
        <v>0</v>
      </c>
      <c r="C28" s="196">
        <f>'4.1 Comptes 2023 natures'!AB156</f>
        <v>-260378.03</v>
      </c>
      <c r="D28" s="19">
        <f>'4.1 Comptes 2023 natures'!AB154</f>
        <v>-260378.03</v>
      </c>
      <c r="E28" s="19">
        <f>'4.9 Comptes 2023 par habitant'!AB154</f>
        <v>-510.5451568627451</v>
      </c>
      <c r="F28" s="13">
        <f>'4.1 Comptes 2023 natures'!AB63</f>
        <v>0</v>
      </c>
      <c r="G28" s="13">
        <f>'4.1 Comptes 2023 natures'!AB139</f>
        <v>0</v>
      </c>
    </row>
    <row r="29" spans="1:7" x14ac:dyDescent="0.2">
      <c r="A29" s="90" t="s">
        <v>40</v>
      </c>
      <c r="B29" s="19">
        <f>'4.1 Comptes 2023 natures'!AC155</f>
        <v>3071.68</v>
      </c>
      <c r="C29" s="196">
        <f>'4.1 Comptes 2023 natures'!AC156</f>
        <v>8093.97</v>
      </c>
      <c r="D29" s="19">
        <f>'4.1 Comptes 2023 natures'!AC154</f>
        <v>11165.65</v>
      </c>
      <c r="E29" s="19">
        <f>'4.9 Comptes 2023 par habitant'!AC154</f>
        <v>15.726267605633804</v>
      </c>
      <c r="F29" s="13">
        <f>'4.1 Comptes 2023 natures'!AC63</f>
        <v>371205.37</v>
      </c>
      <c r="G29" s="13">
        <f>'4.1 Comptes 2023 natures'!AC139</f>
        <v>0</v>
      </c>
    </row>
    <row r="30" spans="1:7" x14ac:dyDescent="0.2">
      <c r="A30" s="90" t="s">
        <v>35</v>
      </c>
      <c r="B30" s="19">
        <f>'4.1 Comptes 2023 natures'!AD155</f>
        <v>1023.72</v>
      </c>
      <c r="C30" s="196">
        <f>'4.1 Comptes 2023 natures'!AD156</f>
        <v>-17572.05</v>
      </c>
      <c r="D30" s="19">
        <f>'4.1 Comptes 2023 natures'!AD154</f>
        <v>-16548.329999999998</v>
      </c>
      <c r="E30" s="19">
        <f>'4.9 Comptes 2023 par habitant'!AD154</f>
        <v>-29.237332155477031</v>
      </c>
      <c r="F30" s="13">
        <f>'4.1 Comptes 2023 natures'!AD63</f>
        <v>0</v>
      </c>
      <c r="G30" s="13">
        <f>'4.1 Comptes 2023 natures'!AD139</f>
        <v>0</v>
      </c>
    </row>
    <row r="31" spans="1:7" x14ac:dyDescent="0.2">
      <c r="A31" s="90" t="s">
        <v>7</v>
      </c>
      <c r="B31" s="19">
        <f>'4.1 Comptes 2023 natures'!AE155</f>
        <v>49294.34</v>
      </c>
      <c r="C31" s="196">
        <f>'4.1 Comptes 2023 natures'!AE156</f>
        <v>29333.06</v>
      </c>
      <c r="D31" s="19">
        <f>'4.1 Comptes 2023 natures'!AE154</f>
        <v>78627.399999999994</v>
      </c>
      <c r="E31" s="19">
        <f>'4.9 Comptes 2023 par habitant'!AE154</f>
        <v>154.7783464566929</v>
      </c>
      <c r="F31" s="13">
        <f>'4.1 Comptes 2023 natures'!AE63</f>
        <v>460000</v>
      </c>
      <c r="G31" s="13">
        <f>'4.1 Comptes 2023 natures'!AE139</f>
        <v>0</v>
      </c>
    </row>
    <row r="32" spans="1:7" x14ac:dyDescent="0.2">
      <c r="A32" s="90" t="s">
        <v>54</v>
      </c>
      <c r="B32" s="19">
        <f>'4.1 Comptes 2023 natures'!AF155</f>
        <v>1399806.94</v>
      </c>
      <c r="C32" s="196">
        <f>'4.1 Comptes 2023 natures'!AF156</f>
        <v>338918.52</v>
      </c>
      <c r="D32" s="19">
        <f>'4.1 Comptes 2023 natures'!AF154</f>
        <v>1738725.46</v>
      </c>
      <c r="E32" s="19">
        <f>'4.9 Comptes 2023 par habitant'!AF154</f>
        <v>888.46472151251919</v>
      </c>
      <c r="F32" s="13">
        <f>'4.1 Comptes 2023 natures'!AF63</f>
        <v>0</v>
      </c>
      <c r="G32" s="13">
        <f>'4.1 Comptes 2023 natures'!AF139</f>
        <v>0</v>
      </c>
    </row>
    <row r="33" spans="1:7" x14ac:dyDescent="0.2">
      <c r="A33" s="90" t="s">
        <v>20</v>
      </c>
      <c r="B33" s="19">
        <f>'4.1 Comptes 2023 natures'!AG155</f>
        <v>217683.4</v>
      </c>
      <c r="C33" s="196">
        <f>'4.1 Comptes 2023 natures'!AG156</f>
        <v>359515.81</v>
      </c>
      <c r="D33" s="19">
        <f>'4.1 Comptes 2023 natures'!AG154</f>
        <v>577199.21</v>
      </c>
      <c r="E33" s="19">
        <f>'4.9 Comptes 2023 par habitant'!AG154</f>
        <v>224.76604750778819</v>
      </c>
      <c r="F33" s="13">
        <f>'4.1 Comptes 2023 natures'!AG63</f>
        <v>900000</v>
      </c>
      <c r="G33" s="13">
        <f>'4.1 Comptes 2023 natures'!AG139</f>
        <v>0</v>
      </c>
    </row>
    <row r="34" spans="1:7" x14ac:dyDescent="0.2">
      <c r="A34" s="90" t="s">
        <v>6</v>
      </c>
      <c r="B34" s="19">
        <f>'4.1 Comptes 2023 natures'!AH155</f>
        <v>1520.35</v>
      </c>
      <c r="C34" s="196">
        <f>'4.1 Comptes 2023 natures'!AH156</f>
        <v>45034.14</v>
      </c>
      <c r="D34" s="19">
        <f>'4.1 Comptes 2023 natures'!AH154</f>
        <v>46554.49</v>
      </c>
      <c r="E34" s="19">
        <f>'4.9 Comptes 2023 par habitant'!AH154</f>
        <v>194.7886610878661</v>
      </c>
      <c r="F34" s="13">
        <f>'4.1 Comptes 2023 natures'!AH63</f>
        <v>0</v>
      </c>
      <c r="G34" s="13">
        <f>'4.1 Comptes 2023 natures'!AH139</f>
        <v>0</v>
      </c>
    </row>
    <row r="35" spans="1:7" x14ac:dyDescent="0.2">
      <c r="A35" s="90" t="s">
        <v>33</v>
      </c>
      <c r="B35" s="19">
        <f>'4.1 Comptes 2023 natures'!AI155</f>
        <v>4424.6499999999996</v>
      </c>
      <c r="C35" s="196">
        <f>'4.1 Comptes 2023 natures'!AI156</f>
        <v>100589.89</v>
      </c>
      <c r="D35" s="19">
        <f>'4.1 Comptes 2023 natures'!AI154</f>
        <v>105014.54</v>
      </c>
      <c r="E35" s="19">
        <f>'4.9 Comptes 2023 par habitant'!AI154</f>
        <v>840.11631999999997</v>
      </c>
      <c r="F35" s="13">
        <f>'4.1 Comptes 2023 natures'!AI63</f>
        <v>80000</v>
      </c>
      <c r="G35" s="13">
        <f>'4.1 Comptes 2023 natures'!AI139</f>
        <v>0</v>
      </c>
    </row>
    <row r="36" spans="1:7" x14ac:dyDescent="0.2">
      <c r="A36" s="90" t="s">
        <v>51</v>
      </c>
      <c r="B36" s="19">
        <f>'4.1 Comptes 2023 natures'!AJ155</f>
        <v>53241</v>
      </c>
      <c r="C36" s="196">
        <f>'4.1 Comptes 2023 natures'!AJ156</f>
        <v>223981.27</v>
      </c>
      <c r="D36" s="19">
        <f>'4.1 Comptes 2023 natures'!AJ154</f>
        <v>277222.27</v>
      </c>
      <c r="E36" s="19">
        <f>'4.9 Comptes 2023 par habitant'!AJ154</f>
        <v>145.37088096486627</v>
      </c>
      <c r="F36" s="13">
        <f>'4.1 Comptes 2023 natures'!AJ63</f>
        <v>470300.7</v>
      </c>
      <c r="G36" s="13">
        <f>'4.1 Comptes 2023 natures'!AJ139</f>
        <v>0</v>
      </c>
    </row>
    <row r="37" spans="1:7" x14ac:dyDescent="0.2">
      <c r="A37" s="90" t="s">
        <v>13</v>
      </c>
      <c r="B37" s="19">
        <f>'4.1 Comptes 2023 natures'!AK155</f>
        <v>20312.21</v>
      </c>
      <c r="C37" s="196">
        <f>'4.1 Comptes 2023 natures'!AK156</f>
        <v>-1368.96</v>
      </c>
      <c r="D37" s="19">
        <f>'4.1 Comptes 2023 natures'!AK154</f>
        <v>18943.25</v>
      </c>
      <c r="E37" s="19">
        <f>'4.9 Comptes 2023 par habitant'!AK154</f>
        <v>16.704805996472661</v>
      </c>
      <c r="F37" s="13">
        <f>'4.1 Comptes 2023 natures'!AK63</f>
        <v>723729.2</v>
      </c>
      <c r="G37" s="13">
        <f>'4.1 Comptes 2023 natures'!AK139</f>
        <v>0</v>
      </c>
    </row>
    <row r="38" spans="1:7" x14ac:dyDescent="0.2">
      <c r="A38" s="90" t="s">
        <v>31</v>
      </c>
      <c r="B38" s="19">
        <f>'4.1 Comptes 2023 natures'!AL155</f>
        <v>46649.919999999998</v>
      </c>
      <c r="C38" s="196">
        <f>'4.1 Comptes 2023 natures'!AL156</f>
        <v>26548.080000000002</v>
      </c>
      <c r="D38" s="19">
        <f>'4.1 Comptes 2023 natures'!AL154</f>
        <v>73198</v>
      </c>
      <c r="E38" s="19">
        <f>'4.9 Comptes 2023 par habitant'!AL154</f>
        <v>60.846217788861182</v>
      </c>
      <c r="F38" s="13">
        <f>'4.1 Comptes 2023 natures'!AL63</f>
        <v>0</v>
      </c>
      <c r="G38" s="13">
        <f>'4.1 Comptes 2023 natures'!AL139</f>
        <v>0</v>
      </c>
    </row>
    <row r="39" spans="1:7" x14ac:dyDescent="0.2">
      <c r="A39" s="90" t="s">
        <v>28</v>
      </c>
      <c r="B39" s="19">
        <f>'4.1 Comptes 2023 natures'!AM155</f>
        <v>13050.46</v>
      </c>
      <c r="C39" s="196">
        <f>'4.1 Comptes 2023 natures'!AM156</f>
        <v>-40289.94</v>
      </c>
      <c r="D39" s="19">
        <f>'4.1 Comptes 2023 natures'!AM154</f>
        <v>-27239.480000000003</v>
      </c>
      <c r="E39" s="19">
        <f>'4.9 Comptes 2023 par habitant'!AM154</f>
        <v>-243.20964285714291</v>
      </c>
      <c r="F39" s="13">
        <f>'4.1 Comptes 2023 natures'!AM63</f>
        <v>15690.5</v>
      </c>
      <c r="G39" s="13">
        <f>'4.1 Comptes 2023 natures'!AM139</f>
        <v>0</v>
      </c>
    </row>
    <row r="40" spans="1:7" x14ac:dyDescent="0.2">
      <c r="A40" s="90" t="s">
        <v>25</v>
      </c>
      <c r="B40" s="19">
        <f>'4.1 Comptes 2023 natures'!AN155</f>
        <v>116926.76</v>
      </c>
      <c r="C40" s="196">
        <f>'4.1 Comptes 2023 natures'!AN156</f>
        <v>-100135.89</v>
      </c>
      <c r="D40" s="19">
        <f>'4.1 Comptes 2023 natures'!AN154</f>
        <v>16790.869999999995</v>
      </c>
      <c r="E40" s="19">
        <f>'4.9 Comptes 2023 par habitant'!AN154</f>
        <v>14.338915456874474</v>
      </c>
      <c r="F40" s="13">
        <f>'4.1 Comptes 2023 natures'!AN63</f>
        <v>2170000</v>
      </c>
      <c r="G40" s="13">
        <f>'4.1 Comptes 2023 natures'!AN139</f>
        <v>0</v>
      </c>
    </row>
    <row r="41" spans="1:7" x14ac:dyDescent="0.2">
      <c r="A41" s="90" t="s">
        <v>47</v>
      </c>
      <c r="B41" s="19">
        <f>'4.1 Comptes 2023 natures'!AO155</f>
        <v>-470965.71</v>
      </c>
      <c r="C41" s="196">
        <f>'4.1 Comptes 2023 natures'!AO156</f>
        <v>3651.03</v>
      </c>
      <c r="D41" s="19">
        <f>'4.1 Comptes 2023 natures'!AO154</f>
        <v>-467314.68</v>
      </c>
      <c r="E41" s="19">
        <f>'4.9 Comptes 2023 par habitant'!AO154</f>
        <v>-713.45752671755724</v>
      </c>
      <c r="F41" s="13">
        <f>'4.1 Comptes 2023 natures'!AO63</f>
        <v>0</v>
      </c>
      <c r="G41" s="13">
        <f>'4.1 Comptes 2023 natures'!AO139</f>
        <v>607</v>
      </c>
    </row>
    <row r="42" spans="1:7" x14ac:dyDescent="0.2">
      <c r="A42" s="90" t="s">
        <v>43</v>
      </c>
      <c r="B42" s="19">
        <f>'4.1 Comptes 2023 natures'!AP155</f>
        <v>57276.38</v>
      </c>
      <c r="C42" s="196">
        <f>'4.1 Comptes 2023 natures'!AP156</f>
        <v>-940.38</v>
      </c>
      <c r="D42" s="19">
        <f>'4.1 Comptes 2023 natures'!AP154</f>
        <v>56336</v>
      </c>
      <c r="E42" s="19">
        <f>'4.9 Comptes 2023 par habitant'!AP154</f>
        <v>89.280507131537234</v>
      </c>
      <c r="F42" s="13">
        <f>'4.1 Comptes 2023 natures'!AP63</f>
        <v>250000</v>
      </c>
      <c r="G42" s="13">
        <f>'4.1 Comptes 2023 natures'!AP139</f>
        <v>567</v>
      </c>
    </row>
    <row r="43" spans="1:7" x14ac:dyDescent="0.2">
      <c r="A43" s="90" t="s">
        <v>36</v>
      </c>
      <c r="B43" s="19">
        <f>'4.1 Comptes 2023 natures'!AQ155</f>
        <v>3214.53</v>
      </c>
      <c r="C43" s="196">
        <f>'4.1 Comptes 2023 natures'!AQ156</f>
        <v>109956.23</v>
      </c>
      <c r="D43" s="19">
        <f>'4.1 Comptes 2023 natures'!AQ154</f>
        <v>113170.76</v>
      </c>
      <c r="E43" s="19">
        <f>'4.9 Comptes 2023 par habitant'!AQ154</f>
        <v>87.458083462132919</v>
      </c>
      <c r="F43" s="13">
        <f>'4.1 Comptes 2023 natures'!AQ63</f>
        <v>115000</v>
      </c>
      <c r="G43" s="13">
        <f>'4.1 Comptes 2023 natures'!AQ139</f>
        <v>0</v>
      </c>
    </row>
    <row r="44" spans="1:7" x14ac:dyDescent="0.2">
      <c r="A44" s="90" t="s">
        <v>50</v>
      </c>
      <c r="B44" s="19">
        <f>'4.1 Comptes 2023 natures'!AR155</f>
        <v>-69298.039999999994</v>
      </c>
      <c r="C44" s="196">
        <f>'4.1 Comptes 2023 natures'!AR156</f>
        <v>-102046.3</v>
      </c>
      <c r="D44" s="19">
        <f>'4.1 Comptes 2023 natures'!AR154</f>
        <v>-171344.34</v>
      </c>
      <c r="E44" s="19">
        <f>'4.9 Comptes 2023 par habitant'!AR154</f>
        <v>-237.64818307905685</v>
      </c>
      <c r="F44" s="13">
        <f>'4.1 Comptes 2023 natures'!AR63</f>
        <v>217.68</v>
      </c>
      <c r="G44" s="13">
        <f>'4.1 Comptes 2023 natures'!AR139</f>
        <v>422</v>
      </c>
    </row>
    <row r="45" spans="1:7" x14ac:dyDescent="0.2">
      <c r="A45" s="90" t="s">
        <v>8</v>
      </c>
      <c r="B45" s="19">
        <f>'4.1 Comptes 2023 natures'!AS155</f>
        <v>69833.289999999994</v>
      </c>
      <c r="C45" s="196">
        <f>'4.1 Comptes 2023 natures'!AS156</f>
        <v>-17419.77</v>
      </c>
      <c r="D45" s="19">
        <f>'4.1 Comptes 2023 natures'!AS154</f>
        <v>52413.51999999999</v>
      </c>
      <c r="E45" s="19">
        <f>'4.9 Comptes 2023 par habitant'!AS154</f>
        <v>49.44671698113207</v>
      </c>
      <c r="F45" s="13">
        <f>'4.1 Comptes 2023 natures'!AS63</f>
        <v>0</v>
      </c>
      <c r="G45" s="13">
        <f>'4.1 Comptes 2023 natures'!AS139</f>
        <v>0</v>
      </c>
    </row>
    <row r="46" spans="1:7" x14ac:dyDescent="0.2">
      <c r="A46" s="90" t="s">
        <v>23</v>
      </c>
      <c r="B46" s="19">
        <f>'4.1 Comptes 2023 natures'!AT155</f>
        <v>272506.28000000003</v>
      </c>
      <c r="C46" s="196">
        <f>'4.1 Comptes 2023 natures'!AT156</f>
        <v>4792.58</v>
      </c>
      <c r="D46" s="19">
        <f>'4.1 Comptes 2023 natures'!AT154</f>
        <v>277298.86000000004</v>
      </c>
      <c r="E46" s="19">
        <f>'4.9 Comptes 2023 par habitant'!AT154</f>
        <v>883.11738853503198</v>
      </c>
      <c r="F46" s="13">
        <f>'4.1 Comptes 2023 natures'!AT63</f>
        <v>300000</v>
      </c>
      <c r="G46" s="13">
        <f>'4.1 Comptes 2023 natures'!AT139</f>
        <v>0</v>
      </c>
    </row>
    <row r="47" spans="1:7" x14ac:dyDescent="0.2">
      <c r="A47" s="90" t="s">
        <v>9</v>
      </c>
      <c r="B47" s="19">
        <f>'4.1 Comptes 2023 natures'!AU155</f>
        <v>-141893.21</v>
      </c>
      <c r="C47" s="196">
        <f>'4.1 Comptes 2023 natures'!AU156</f>
        <v>-19084.29</v>
      </c>
      <c r="D47" s="19">
        <f>'4.1 Comptes 2023 natures'!AU154</f>
        <v>-160977.5</v>
      </c>
      <c r="E47" s="19">
        <f>'4.9 Comptes 2023 par habitant'!AU154</f>
        <v>-65.624745209946994</v>
      </c>
      <c r="F47" s="13">
        <f>'4.1 Comptes 2023 natures'!AU63</f>
        <v>0</v>
      </c>
      <c r="G47" s="13">
        <f>'4.1 Comptes 2023 natures'!AU139</f>
        <v>0</v>
      </c>
    </row>
    <row r="48" spans="1:7" x14ac:dyDescent="0.2">
      <c r="A48" s="90" t="s">
        <v>61</v>
      </c>
      <c r="B48" s="19">
        <f>'4.1 Comptes 2023 natures'!AV155</f>
        <v>3493.65</v>
      </c>
      <c r="C48" s="196">
        <f>'4.1 Comptes 2023 natures'!AV156</f>
        <v>41151.57</v>
      </c>
      <c r="D48" s="19">
        <f>'4.1 Comptes 2023 natures'!AV154</f>
        <v>44645.22</v>
      </c>
      <c r="E48" s="19">
        <f>'4.9 Comptes 2023 par habitant'!AV154</f>
        <v>57.681162790697677</v>
      </c>
      <c r="F48" s="13">
        <f>'4.1 Comptes 2023 natures'!AV63</f>
        <v>200000</v>
      </c>
      <c r="G48" s="13">
        <f>'4.1 Comptes 2023 natures'!AV139</f>
        <v>633</v>
      </c>
    </row>
    <row r="49" spans="1:9" x14ac:dyDescent="0.2">
      <c r="A49" s="90" t="s">
        <v>850</v>
      </c>
      <c r="B49" s="19">
        <f>'4.1 Comptes 2023 natures'!AW155</f>
        <v>375240.59</v>
      </c>
      <c r="C49" s="196">
        <f>'4.1 Comptes 2023 natures'!AW156</f>
        <v>59977.13</v>
      </c>
      <c r="D49" s="19">
        <f>'4.1 Comptes 2023 natures'!AW154</f>
        <v>435217.72000000003</v>
      </c>
      <c r="E49" s="19">
        <f>'4.9 Comptes 2023 par habitant'!AW154</f>
        <v>1198.9468870523415</v>
      </c>
      <c r="F49" s="13">
        <f>'4.1 Comptes 2023 natures'!AW63</f>
        <v>0</v>
      </c>
      <c r="G49" s="13">
        <f>'4.1 Comptes 2023 natures'!AW139</f>
        <v>442</v>
      </c>
    </row>
    <row r="50" spans="1:9" x14ac:dyDescent="0.2">
      <c r="A50" s="90" t="s">
        <v>34</v>
      </c>
      <c r="B50" s="19">
        <f>'4.1 Comptes 2023 natures'!AX155</f>
        <v>-55185.51</v>
      </c>
      <c r="C50" s="196">
        <f>'4.1 Comptes 2023 natures'!AX156</f>
        <v>26977.75</v>
      </c>
      <c r="D50" s="19">
        <f>'4.1 Comptes 2023 natures'!AX154</f>
        <v>-28207.760000000002</v>
      </c>
      <c r="E50" s="19">
        <f>'4.9 Comptes 2023 par habitant'!AX154</f>
        <v>-84.963132530120475</v>
      </c>
      <c r="F50" s="13">
        <f>'4.1 Comptes 2023 natures'!AX63</f>
        <v>0</v>
      </c>
      <c r="G50" s="13">
        <f>'4.1 Comptes 2023 natures'!AX139</f>
        <v>311</v>
      </c>
    </row>
    <row r="51" spans="1:9" x14ac:dyDescent="0.2">
      <c r="A51" s="90" t="s">
        <v>48</v>
      </c>
      <c r="B51" s="19">
        <f>'4.1 Comptes 2023 natures'!AY155</f>
        <v>35960.61</v>
      </c>
      <c r="C51" s="196">
        <f>'4.1 Comptes 2023 natures'!AY156</f>
        <v>41684.69</v>
      </c>
      <c r="D51" s="19">
        <f>'4.1 Comptes 2023 natures'!AY154</f>
        <v>77645.3</v>
      </c>
      <c r="E51" s="19">
        <f>'4.9 Comptes 2023 par habitant'!AY154</f>
        <v>47.143472981177901</v>
      </c>
      <c r="F51" s="13">
        <f>'4.1 Comptes 2023 natures'!AY63</f>
        <v>250000</v>
      </c>
      <c r="G51" s="13">
        <f>'4.1 Comptes 2023 natures'!AY139</f>
        <v>1597</v>
      </c>
    </row>
    <row r="52" spans="1:9" x14ac:dyDescent="0.2">
      <c r="A52" s="90" t="s">
        <v>46</v>
      </c>
      <c r="B52" s="20">
        <f>'4.1 Comptes 2023 natures'!AZ155</f>
        <v>2149.66</v>
      </c>
      <c r="C52" s="196">
        <f>'4.1 Comptes 2023 natures'!AZ156</f>
        <v>4181.5</v>
      </c>
      <c r="D52" s="19">
        <f>'4.1 Comptes 2023 natures'!AZ154</f>
        <v>6331.16</v>
      </c>
      <c r="E52" s="19">
        <f>'4.9 Comptes 2023 par habitant'!AZ154</f>
        <v>16.617217847769027</v>
      </c>
      <c r="F52" s="13">
        <f>'4.1 Comptes 2023 natures'!AZ63</f>
        <v>0</v>
      </c>
      <c r="G52" s="13">
        <f>'4.1 Comptes 2023 natures'!AZ139</f>
        <v>319</v>
      </c>
    </row>
    <row r="53" spans="1:9" x14ac:dyDescent="0.2">
      <c r="A53" s="90" t="s">
        <v>57</v>
      </c>
      <c r="B53" s="19">
        <f>'4.1 Comptes 2023 natures'!BA155</f>
        <v>23950.09</v>
      </c>
      <c r="C53" s="196">
        <f>'4.1 Comptes 2023 natures'!BA156</f>
        <v>32296.799999999999</v>
      </c>
      <c r="D53" s="19">
        <f>'4.1 Comptes 2023 natures'!BA154</f>
        <v>56246.89</v>
      </c>
      <c r="E53" s="19">
        <f>'4.9 Comptes 2023 par habitant'!BA154</f>
        <v>53.213708609271521</v>
      </c>
      <c r="F53" s="13">
        <f>'4.1 Comptes 2023 natures'!BA63</f>
        <v>0</v>
      </c>
      <c r="G53" s="13">
        <f>'4.1 Comptes 2023 natures'!BA139</f>
        <v>1083.4000000000001</v>
      </c>
    </row>
    <row r="54" spans="1:9" x14ac:dyDescent="0.2">
      <c r="A54" s="90" t="s">
        <v>15</v>
      </c>
      <c r="B54" s="19">
        <f>'4.1 Comptes 2023 natures'!BB155</f>
        <v>-428001.87</v>
      </c>
      <c r="C54" s="196">
        <f>'4.1 Comptes 2023 natures'!BB156</f>
        <v>265727.89</v>
      </c>
      <c r="D54" s="19">
        <f>'4.1 Comptes 2023 natures'!BB154</f>
        <v>-162273.97999999998</v>
      </c>
      <c r="E54" s="19">
        <f>'4.9 Comptes 2023 par habitant'!BB154</f>
        <v>-24.583241933040441</v>
      </c>
      <c r="F54" s="13">
        <f>'4.1 Comptes 2023 natures'!BB63</f>
        <v>0</v>
      </c>
      <c r="G54" s="13">
        <f>'4.1 Comptes 2023 natures'!BB139</f>
        <v>0</v>
      </c>
    </row>
    <row r="55" spans="1:9" x14ac:dyDescent="0.2">
      <c r="A55" s="90" t="s">
        <v>24</v>
      </c>
      <c r="B55" s="19">
        <f>'4.1 Comptes 2023 natures'!BC155</f>
        <v>107918.37</v>
      </c>
      <c r="C55" s="196">
        <f>'4.1 Comptes 2023 natures'!BC156</f>
        <v>933.9</v>
      </c>
      <c r="D55" s="19">
        <f>'4.1 Comptes 2023 natures'!BC154</f>
        <v>108852.26999999999</v>
      </c>
      <c r="E55" s="19">
        <f>'4.9 Comptes 2023 par habitant'!BC154</f>
        <v>198.99866544789762</v>
      </c>
      <c r="F55" s="13">
        <f>'4.1 Comptes 2023 natures'!BC63</f>
        <v>80000</v>
      </c>
      <c r="G55" s="13">
        <f>'4.1 Comptes 2023 natures'!BC139</f>
        <v>590</v>
      </c>
    </row>
    <row r="56" spans="1:9" ht="15" x14ac:dyDescent="0.25">
      <c r="A56" s="91" t="s">
        <v>64</v>
      </c>
      <c r="B56" s="195">
        <f>'4.1 Comptes 2023 natures'!BD155</f>
        <v>3193479.0199999996</v>
      </c>
      <c r="C56" s="195">
        <f>'4.1 Comptes 2023 natures'!BD156</f>
        <v>4110999.7500000009</v>
      </c>
      <c r="D56" s="82">
        <f>'4.1 Comptes 2023 natures'!BD154</f>
        <v>7304478.7700000005</v>
      </c>
      <c r="E56" s="82">
        <f>'4.9 Comptes 2023 par habitant'!BD154</f>
        <v>97.983564549015398</v>
      </c>
      <c r="F56" s="84">
        <f>'4.1 Comptes 2023 natures'!BD63</f>
        <v>11704072.629999999</v>
      </c>
      <c r="G56" s="84">
        <f>'4.1 Comptes 2023 natures'!BD139</f>
        <v>1899119.4600000002</v>
      </c>
      <c r="I56" s="13"/>
    </row>
    <row r="57" spans="1:9" ht="15" x14ac:dyDescent="0.25">
      <c r="A57" s="91" t="s">
        <v>207</v>
      </c>
      <c r="B57" s="195">
        <f>'4.1 Comptes 2023 natures'!BE155</f>
        <v>-1846902.87</v>
      </c>
      <c r="C57" s="195">
        <f>'4.1 Comptes 2023 natures'!BE156</f>
        <v>2435020.66</v>
      </c>
      <c r="D57" s="82">
        <f>'4.1 Comptes 2023 natures'!BE154</f>
        <v>588117.79</v>
      </c>
      <c r="E57" s="82">
        <f>'4.9 Comptes 2023 par habitant'!BE154</f>
        <v>14.828991174987394</v>
      </c>
      <c r="F57" s="84">
        <f>'4.1 Comptes 2023 natures'!BE63</f>
        <v>1920359.8599999999</v>
      </c>
      <c r="G57" s="84">
        <f>'4.1 Comptes 2023 natures'!BE139</f>
        <v>1892548.0600000003</v>
      </c>
    </row>
    <row r="58" spans="1:9" ht="15" x14ac:dyDescent="0.25">
      <c r="A58" s="91" t="s">
        <v>208</v>
      </c>
      <c r="B58" s="195">
        <f>'4.1 Comptes 2023 natures'!BF155</f>
        <v>5004002.4300000006</v>
      </c>
      <c r="C58" s="195">
        <f>'4.1 Comptes 2023 natures'!BF156</f>
        <v>1115404.2000000002</v>
      </c>
      <c r="D58" s="82">
        <f>'4.1 Comptes 2023 natures'!BF154</f>
        <v>6119406.6300000008</v>
      </c>
      <c r="E58" s="82">
        <f>'4.9 Comptes 2023 par habitant'!BF154</f>
        <v>581.08504700408321</v>
      </c>
      <c r="F58" s="84">
        <f>'4.1 Comptes 2023 natures'!BF63</f>
        <v>5208774.6899999995</v>
      </c>
      <c r="G58" s="84">
        <f>'4.1 Comptes 2023 natures'!BF139</f>
        <v>0</v>
      </c>
    </row>
    <row r="59" spans="1:9" ht="15" x14ac:dyDescent="0.25">
      <c r="A59" s="91" t="s">
        <v>209</v>
      </c>
      <c r="B59" s="195">
        <f>'4.1 Comptes 2023 natures'!BG155</f>
        <v>36379.459999999963</v>
      </c>
      <c r="C59" s="195">
        <f>'4.1 Comptes 2023 natures'!BG156</f>
        <v>560574.89</v>
      </c>
      <c r="D59" s="82">
        <f>'4.1 Comptes 2023 natures'!BG154</f>
        <v>596954.35</v>
      </c>
      <c r="E59" s="82">
        <f>'4.9 Comptes 2023 par habitant'!BG154</f>
        <v>24.508533481134783</v>
      </c>
      <c r="F59" s="84">
        <f>'4.1 Comptes 2023 natures'!BG63</f>
        <v>4574938.08</v>
      </c>
      <c r="G59" s="84">
        <f>'4.1 Comptes 2023 natures'!BG139</f>
        <v>6571.4</v>
      </c>
    </row>
    <row r="60" spans="1:9" x14ac:dyDescent="0.2">
      <c r="C60" s="19"/>
    </row>
  </sheetData>
  <pageMargins left="0.7" right="0.7" top="0.75" bottom="0.75" header="0.3" footer="0.3"/>
  <pageSetup paperSize="8" scale="8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79"/>
  <sheetViews>
    <sheetView workbookViewId="0">
      <pane xSplit="4" ySplit="4" topLeftCell="E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5703125" style="8" customWidth="1"/>
    <col min="5" max="56" width="16.28515625" style="8" customWidth="1"/>
    <col min="57" max="59" width="17.85546875" style="8" customWidth="1"/>
    <col min="60" max="16384" width="11.42578125" style="8"/>
  </cols>
  <sheetData>
    <row r="2" spans="1:59" ht="20.25" x14ac:dyDescent="0.3">
      <c r="A2" s="192" t="s">
        <v>851</v>
      </c>
      <c r="B2" s="7"/>
      <c r="C2" s="7"/>
      <c r="D2" s="7"/>
    </row>
    <row r="3" spans="1:59" x14ac:dyDescent="0.2">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4033.2316857440169</v>
      </c>
      <c r="F5" s="12">
        <f t="shared" ref="F5:BG5" si="0">F6+F16+F28+F32+F40+F44+F54+F57+F65</f>
        <v>4154.5522222222226</v>
      </c>
      <c r="G5" s="12">
        <f t="shared" si="0"/>
        <v>3263.3544736842105</v>
      </c>
      <c r="H5" s="12">
        <f t="shared" si="0"/>
        <v>4777.4204943820223</v>
      </c>
      <c r="I5" s="12">
        <f t="shared" si="0"/>
        <v>4750.358121079903</v>
      </c>
      <c r="J5" s="12">
        <f t="shared" si="0"/>
        <v>4401.9420435806824</v>
      </c>
      <c r="K5" s="12">
        <f t="shared" si="0"/>
        <v>4376.5424559471367</v>
      </c>
      <c r="L5" s="12">
        <f t="shared" si="0"/>
        <v>9589.6744901483653</v>
      </c>
      <c r="M5" s="12">
        <f t="shared" si="0"/>
        <v>6099.0444897959187</v>
      </c>
      <c r="N5" s="12">
        <f t="shared" si="0"/>
        <v>4547.054444444444</v>
      </c>
      <c r="O5" s="12">
        <f t="shared" si="0"/>
        <v>4012.3568486824238</v>
      </c>
      <c r="P5" s="12">
        <f t="shared" si="0"/>
        <v>3494.4937196261685</v>
      </c>
      <c r="Q5" s="12">
        <f t="shared" si="0"/>
        <v>3581.1165178571432</v>
      </c>
      <c r="R5" s="12">
        <f t="shared" si="0"/>
        <v>4371.7929761904761</v>
      </c>
      <c r="S5" s="12">
        <f t="shared" si="0"/>
        <v>4242.4433810888258</v>
      </c>
      <c r="T5" s="12">
        <f t="shared" si="0"/>
        <v>4484.9618144611186</v>
      </c>
      <c r="U5" s="12">
        <f t="shared" si="0"/>
        <v>3821.0610989010984</v>
      </c>
      <c r="V5" s="12">
        <f t="shared" si="0"/>
        <v>5682.665730858469</v>
      </c>
      <c r="W5" s="12">
        <f t="shared" si="0"/>
        <v>3885.5230590394613</v>
      </c>
      <c r="X5" s="12">
        <f t="shared" si="0"/>
        <v>6388.0576721311472</v>
      </c>
      <c r="Y5" s="12">
        <f t="shared" si="0"/>
        <v>4991.1902875399355</v>
      </c>
      <c r="Z5" s="12">
        <f t="shared" si="0"/>
        <v>10492.294853836784</v>
      </c>
      <c r="AA5" s="12">
        <f t="shared" si="0"/>
        <v>5947.138859060402</v>
      </c>
      <c r="AB5" s="12">
        <f t="shared" si="0"/>
        <v>5558.3145294117649</v>
      </c>
      <c r="AC5" s="12">
        <f t="shared" si="0"/>
        <v>5699.6073098591542</v>
      </c>
      <c r="AD5" s="12">
        <f t="shared" si="0"/>
        <v>5118.7093286219088</v>
      </c>
      <c r="AE5" s="12">
        <f t="shared" si="0"/>
        <v>8406.9446653543309</v>
      </c>
      <c r="AF5" s="12">
        <f t="shared" si="0"/>
        <v>5030.1399591211039</v>
      </c>
      <c r="AG5" s="12">
        <f t="shared" si="0"/>
        <v>5084.0580880062307</v>
      </c>
      <c r="AH5" s="12">
        <f t="shared" si="0"/>
        <v>4386.4708786610881</v>
      </c>
      <c r="AI5" s="12">
        <f t="shared" si="0"/>
        <v>4772.6764800000001</v>
      </c>
      <c r="AJ5" s="12">
        <f t="shared" si="0"/>
        <v>4378.9205663345574</v>
      </c>
      <c r="AK5" s="12">
        <f t="shared" si="0"/>
        <v>5365.8697619047616</v>
      </c>
      <c r="AL5" s="12">
        <f t="shared" si="0"/>
        <v>4478.6200249376561</v>
      </c>
      <c r="AM5" s="12">
        <f t="shared" si="0"/>
        <v>6205.916160714286</v>
      </c>
      <c r="AN5" s="12">
        <f t="shared" si="0"/>
        <v>9039.9115969257036</v>
      </c>
      <c r="AO5" s="12">
        <f t="shared" si="0"/>
        <v>6120.3656030534348</v>
      </c>
      <c r="AP5" s="12">
        <f t="shared" si="0"/>
        <v>4787.1875911251982</v>
      </c>
      <c r="AQ5" s="12">
        <f t="shared" si="0"/>
        <v>5239.3604482225664</v>
      </c>
      <c r="AR5" s="12">
        <f t="shared" si="0"/>
        <v>4699.1754646324544</v>
      </c>
      <c r="AS5" s="12">
        <f t="shared" si="0"/>
        <v>4571.4381132075468</v>
      </c>
      <c r="AT5" s="12">
        <f t="shared" si="0"/>
        <v>4362.7214649681528</v>
      </c>
      <c r="AU5" s="12">
        <f t="shared" si="0"/>
        <v>4424.0189196901756</v>
      </c>
      <c r="AV5" s="12">
        <f t="shared" si="0"/>
        <v>4479.0842894056859</v>
      </c>
      <c r="AW5" s="12">
        <f t="shared" si="0"/>
        <v>4373.2877410468318</v>
      </c>
      <c r="AX5" s="12">
        <f t="shared" si="0"/>
        <v>4299.5657530120479</v>
      </c>
      <c r="AY5" s="12">
        <f t="shared" si="0"/>
        <v>4533.3177413479052</v>
      </c>
      <c r="AZ5" s="12">
        <f t="shared" si="0"/>
        <v>4887.2854593175853</v>
      </c>
      <c r="BA5" s="12">
        <f t="shared" si="0"/>
        <v>5400.2819394512771</v>
      </c>
      <c r="BB5" s="12">
        <f t="shared" si="0"/>
        <v>6453.4994319042571</v>
      </c>
      <c r="BC5" s="12">
        <f t="shared" si="0"/>
        <v>4644.8153747714805</v>
      </c>
      <c r="BD5" s="12">
        <f t="shared" si="0"/>
        <v>5843.1224381606489</v>
      </c>
      <c r="BE5" s="12">
        <f t="shared" si="0"/>
        <v>6017.6335706001018</v>
      </c>
      <c r="BF5" s="12">
        <f t="shared" si="0"/>
        <v>6163.3249273573265</v>
      </c>
      <c r="BG5" s="12">
        <f t="shared" si="0"/>
        <v>5420.5267192182937</v>
      </c>
    </row>
    <row r="6" spans="1:59" ht="15" x14ac:dyDescent="0.25">
      <c r="A6" s="7"/>
      <c r="B6" s="75">
        <v>30</v>
      </c>
      <c r="C6" s="75"/>
      <c r="D6" s="75" t="s">
        <v>60</v>
      </c>
      <c r="E6" s="76">
        <f>E7+E8+E9+E10+E11+E12+E13+E14</f>
        <v>501.75593132154</v>
      </c>
      <c r="F6" s="76">
        <f t="shared" ref="F6:BG6" si="1">F7+F8+F9+F10+F11+F12+F13+F14</f>
        <v>198.47643678160918</v>
      </c>
      <c r="G6" s="76">
        <f t="shared" si="1"/>
        <v>267.04787449392711</v>
      </c>
      <c r="H6" s="76">
        <f t="shared" si="1"/>
        <v>654.96820224719102</v>
      </c>
      <c r="I6" s="76">
        <f t="shared" si="1"/>
        <v>787.59909190073631</v>
      </c>
      <c r="J6" s="76">
        <f t="shared" si="1"/>
        <v>893.45180212014134</v>
      </c>
      <c r="K6" s="76">
        <f t="shared" si="1"/>
        <v>418.89486049926575</v>
      </c>
      <c r="L6" s="76">
        <f t="shared" si="1"/>
        <v>1998.4497645027081</v>
      </c>
      <c r="M6" s="76">
        <f t="shared" si="1"/>
        <v>921.56734693877559</v>
      </c>
      <c r="N6" s="76">
        <f t="shared" si="1"/>
        <v>527.16188034188031</v>
      </c>
      <c r="O6" s="76">
        <f t="shared" si="1"/>
        <v>554.80294349361589</v>
      </c>
      <c r="P6" s="76">
        <f t="shared" si="1"/>
        <v>395.20411214953265</v>
      </c>
      <c r="Q6" s="76">
        <f t="shared" si="1"/>
        <v>646.1678571428572</v>
      </c>
      <c r="R6" s="76">
        <f t="shared" si="1"/>
        <v>566.89761904761906</v>
      </c>
      <c r="S6" s="76">
        <f t="shared" si="1"/>
        <v>426.53638968481374</v>
      </c>
      <c r="T6" s="76">
        <f t="shared" si="1"/>
        <v>438.92373806275583</v>
      </c>
      <c r="U6" s="76">
        <f t="shared" si="1"/>
        <v>428.40945054945058</v>
      </c>
      <c r="V6" s="76">
        <f t="shared" si="1"/>
        <v>714.71612529002323</v>
      </c>
      <c r="W6" s="76">
        <f t="shared" si="1"/>
        <v>743.14791985316606</v>
      </c>
      <c r="X6" s="76">
        <f t="shared" si="1"/>
        <v>452.04229508196721</v>
      </c>
      <c r="Y6" s="76">
        <f t="shared" si="1"/>
        <v>1127.4376198083069</v>
      </c>
      <c r="Z6" s="76">
        <f t="shared" si="1"/>
        <v>1193.0447381242386</v>
      </c>
      <c r="AA6" s="76">
        <f t="shared" si="1"/>
        <v>462.97114093959732</v>
      </c>
      <c r="AB6" s="76">
        <f t="shared" si="1"/>
        <v>787.2741176470588</v>
      </c>
      <c r="AC6" s="76">
        <f t="shared" si="1"/>
        <v>734.28640845070436</v>
      </c>
      <c r="AD6" s="76">
        <f t="shared" si="1"/>
        <v>876.65406360424026</v>
      </c>
      <c r="AE6" s="76">
        <f t="shared" si="1"/>
        <v>793.06578740157488</v>
      </c>
      <c r="AF6" s="76">
        <f t="shared" si="1"/>
        <v>543.27353091466534</v>
      </c>
      <c r="AG6" s="76">
        <f t="shared" si="1"/>
        <v>792.58975856697816</v>
      </c>
      <c r="AH6" s="76">
        <f t="shared" si="1"/>
        <v>421.0135983263599</v>
      </c>
      <c r="AI6" s="76">
        <f t="shared" si="1"/>
        <v>554.58319999999992</v>
      </c>
      <c r="AJ6" s="76">
        <f t="shared" si="1"/>
        <v>397.41482433141061</v>
      </c>
      <c r="AK6" s="76">
        <f t="shared" si="1"/>
        <v>573.49466490299824</v>
      </c>
      <c r="AL6" s="76">
        <f t="shared" si="1"/>
        <v>471.47623441396507</v>
      </c>
      <c r="AM6" s="76">
        <f t="shared" si="1"/>
        <v>654.36348214285715</v>
      </c>
      <c r="AN6" s="76">
        <f t="shared" si="1"/>
        <v>1212.1627241673784</v>
      </c>
      <c r="AO6" s="76">
        <f t="shared" si="1"/>
        <v>1472.9238625954197</v>
      </c>
      <c r="AP6" s="76">
        <f t="shared" si="1"/>
        <v>380.30483359746432</v>
      </c>
      <c r="AQ6" s="76">
        <f t="shared" si="1"/>
        <v>1105.0488408037095</v>
      </c>
      <c r="AR6" s="76">
        <f t="shared" si="1"/>
        <v>662.92115117891819</v>
      </c>
      <c r="AS6" s="76">
        <f t="shared" si="1"/>
        <v>539.86948113207552</v>
      </c>
      <c r="AT6" s="76">
        <f t="shared" si="1"/>
        <v>352.21949044585989</v>
      </c>
      <c r="AU6" s="76">
        <f t="shared" si="1"/>
        <v>457.38903383611904</v>
      </c>
      <c r="AV6" s="76">
        <f t="shared" si="1"/>
        <v>682.13489664082681</v>
      </c>
      <c r="AW6" s="76">
        <f t="shared" si="1"/>
        <v>404.08958677685945</v>
      </c>
      <c r="AX6" s="76">
        <f t="shared" si="1"/>
        <v>445.69397590361444</v>
      </c>
      <c r="AY6" s="76">
        <f t="shared" si="1"/>
        <v>547.66897996357011</v>
      </c>
      <c r="AZ6" s="76">
        <f t="shared" si="1"/>
        <v>377.65065616797898</v>
      </c>
      <c r="BA6" s="76">
        <f t="shared" si="1"/>
        <v>1232.1469725638599</v>
      </c>
      <c r="BB6" s="76">
        <f t="shared" si="1"/>
        <v>1718.3775761248294</v>
      </c>
      <c r="BC6" s="76">
        <f t="shared" si="1"/>
        <v>612.81983546617926</v>
      </c>
      <c r="BD6" s="76">
        <f t="shared" si="1"/>
        <v>1001.2191382733276</v>
      </c>
      <c r="BE6" s="76">
        <f t="shared" si="1"/>
        <v>1077.5681424609177</v>
      </c>
      <c r="BF6" s="76">
        <f t="shared" si="1"/>
        <v>823.07527110435876</v>
      </c>
      <c r="BG6" s="76">
        <f t="shared" si="1"/>
        <v>953.92396887958284</v>
      </c>
    </row>
    <row r="7" spans="1:59" x14ac:dyDescent="0.2">
      <c r="C7" s="8">
        <v>300</v>
      </c>
      <c r="D7" s="8" t="s">
        <v>77</v>
      </c>
      <c r="E7" s="13">
        <f>'4.1 Comptes 2023 natures'!E7/'4.1 Comptes 2023 natures'!E3</f>
        <v>43.858844953173772</v>
      </c>
      <c r="F7" s="13">
        <f>'4.1 Comptes 2023 natures'!F7/'4.1 Comptes 2023 natures'!F3</f>
        <v>71.157088122605359</v>
      </c>
      <c r="G7" s="13">
        <f>'4.1 Comptes 2023 natures'!G7/'4.1 Comptes 2023 natures'!G3</f>
        <v>55.557186234817813</v>
      </c>
      <c r="H7" s="13">
        <f>'4.1 Comptes 2023 natures'!H7/'4.1 Comptes 2023 natures'!H3</f>
        <v>113.29179775280899</v>
      </c>
      <c r="I7" s="13">
        <f>'4.1 Comptes 2023 natures'!I7/'4.1 Comptes 2023 natures'!I3</f>
        <v>40.747013907826556</v>
      </c>
      <c r="J7" s="13">
        <f>'4.1 Comptes 2023 natures'!J7/'4.1 Comptes 2023 natures'!J3</f>
        <v>43.805064782096586</v>
      </c>
      <c r="K7" s="13">
        <f>'4.1 Comptes 2023 natures'!K7/'4.1 Comptes 2023 natures'!K3</f>
        <v>52.812555066079291</v>
      </c>
      <c r="L7" s="13">
        <f>'4.1 Comptes 2023 natures'!L7/'4.1 Comptes 2023 natures'!L3</f>
        <v>51.997056283852736</v>
      </c>
      <c r="M7" s="13">
        <f>'4.1 Comptes 2023 natures'!M7/'4.1 Comptes 2023 natures'!M3</f>
        <v>48.785532069970849</v>
      </c>
      <c r="N7" s="13">
        <f>'4.1 Comptes 2023 natures'!N7/'4.1 Comptes 2023 natures'!N3</f>
        <v>164.92735042735043</v>
      </c>
      <c r="O7" s="13">
        <f>'4.1 Comptes 2023 natures'!O7/'4.1 Comptes 2023 natures'!O3</f>
        <v>44.776684324911713</v>
      </c>
      <c r="P7" s="13">
        <f>'4.1 Comptes 2023 natures'!P7/'4.1 Comptes 2023 natures'!P3</f>
        <v>104.49906542056075</v>
      </c>
      <c r="Q7" s="13">
        <f>'4.1 Comptes 2023 natures'!Q7/'4.1 Comptes 2023 natures'!Q3</f>
        <v>120</v>
      </c>
      <c r="R7" s="13">
        <f>'4.1 Comptes 2023 natures'!R7/'4.1 Comptes 2023 natures'!R3</f>
        <v>54.310476190476194</v>
      </c>
      <c r="S7" s="13">
        <f>'4.1 Comptes 2023 natures'!S7/'4.1 Comptes 2023 natures'!S3</f>
        <v>76.856876790830938</v>
      </c>
      <c r="T7" s="13">
        <f>'4.1 Comptes 2023 natures'!T7/'4.1 Comptes 2023 natures'!T3</f>
        <v>73.81848567530696</v>
      </c>
      <c r="U7" s="13">
        <f>'4.1 Comptes 2023 natures'!U7/'4.1 Comptes 2023 natures'!U3</f>
        <v>50.676373626373625</v>
      </c>
      <c r="V7" s="13">
        <f>'4.1 Comptes 2023 natures'!V7/'4.1 Comptes 2023 natures'!V3</f>
        <v>109.7737819025522</v>
      </c>
      <c r="W7" s="13">
        <f>'4.1 Comptes 2023 natures'!W7/'4.1 Comptes 2023 natures'!W3</f>
        <v>41.121749770572038</v>
      </c>
      <c r="X7" s="13">
        <f>'4.1 Comptes 2023 natures'!X7/'4.1 Comptes 2023 natures'!X3</f>
        <v>194.73426229508195</v>
      </c>
      <c r="Y7" s="13">
        <f>'4.1 Comptes 2023 natures'!Y7/'4.1 Comptes 2023 natures'!Y3</f>
        <v>64.316333865814698</v>
      </c>
      <c r="Z7" s="13">
        <f>'4.1 Comptes 2023 natures'!Z7/'4.1 Comptes 2023 natures'!Z3</f>
        <v>58.969549330085265</v>
      </c>
      <c r="AA7" s="13">
        <f>'4.1 Comptes 2023 natures'!AA7/'4.1 Comptes 2023 natures'!AA3</f>
        <v>90.569127516778522</v>
      </c>
      <c r="AB7" s="13">
        <f>'4.1 Comptes 2023 natures'!AB7/'4.1 Comptes 2023 natures'!AB3</f>
        <v>47.279411764705884</v>
      </c>
      <c r="AC7" s="13">
        <f>'4.1 Comptes 2023 natures'!AC7/'4.1 Comptes 2023 natures'!AC3</f>
        <v>39.594647887323944</v>
      </c>
      <c r="AD7" s="13">
        <f>'4.1 Comptes 2023 natures'!AD7/'4.1 Comptes 2023 natures'!AD3</f>
        <v>72.274734982332149</v>
      </c>
      <c r="AE7" s="13">
        <f>'4.1 Comptes 2023 natures'!AE7/'4.1 Comptes 2023 natures'!AE3</f>
        <v>84.254133858267707</v>
      </c>
      <c r="AF7" s="13">
        <f>'4.1 Comptes 2023 natures'!AF7/'4.1 Comptes 2023 natures'!AF3</f>
        <v>47.360245273377622</v>
      </c>
      <c r="AG7" s="13">
        <f>'4.1 Comptes 2023 natures'!AG7/'4.1 Comptes 2023 natures'!AG3</f>
        <v>41.712032710280376</v>
      </c>
      <c r="AH7" s="13">
        <f>'4.1 Comptes 2023 natures'!AH7/'4.1 Comptes 2023 natures'!AH3</f>
        <v>76.605857740585776</v>
      </c>
      <c r="AI7" s="13">
        <f>'4.1 Comptes 2023 natures'!AI7/'4.1 Comptes 2023 natures'!AI3</f>
        <v>147.97</v>
      </c>
      <c r="AJ7" s="13">
        <f>'4.1 Comptes 2023 natures'!AJ7/'4.1 Comptes 2023 natures'!AJ3</f>
        <v>45.160618772941795</v>
      </c>
      <c r="AK7" s="13">
        <f>'4.1 Comptes 2023 natures'!AK7/'4.1 Comptes 2023 natures'!AK3</f>
        <v>48.244620811287476</v>
      </c>
      <c r="AL7" s="13">
        <f>'4.1 Comptes 2023 natures'!AL7/'4.1 Comptes 2023 natures'!AL3</f>
        <v>49.734580216126346</v>
      </c>
      <c r="AM7" s="13">
        <f>'4.1 Comptes 2023 natures'!AM7/'4.1 Comptes 2023 natures'!AM3</f>
        <v>192.60535714285714</v>
      </c>
      <c r="AN7" s="13">
        <f>'4.1 Comptes 2023 natures'!AN7/'4.1 Comptes 2023 natures'!AN3</f>
        <v>76.44897523484201</v>
      </c>
      <c r="AO7" s="13">
        <f>'4.1 Comptes 2023 natures'!AO7/'4.1 Comptes 2023 natures'!AO3</f>
        <v>54.964045801526716</v>
      </c>
      <c r="AP7" s="13">
        <f>'4.1 Comptes 2023 natures'!AP7/'4.1 Comptes 2023 natures'!AP3</f>
        <v>72.140729001584788</v>
      </c>
      <c r="AQ7" s="13">
        <f>'4.1 Comptes 2023 natures'!AQ7/'4.1 Comptes 2023 natures'!AQ3</f>
        <v>66.932032457496135</v>
      </c>
      <c r="AR7" s="13">
        <f>'4.1 Comptes 2023 natures'!AR7/'4.1 Comptes 2023 natures'!AR3</f>
        <v>61.945214979195562</v>
      </c>
      <c r="AS7" s="13">
        <f>'4.1 Comptes 2023 natures'!AS7/'4.1 Comptes 2023 natures'!AS3</f>
        <v>39.009433962264154</v>
      </c>
      <c r="AT7" s="13">
        <f>'4.1 Comptes 2023 natures'!AT7/'4.1 Comptes 2023 natures'!AT3</f>
        <v>49.601910828025481</v>
      </c>
      <c r="AU7" s="13">
        <f>'4.1 Comptes 2023 natures'!AU7/'4.1 Comptes 2023 natures'!AU3</f>
        <v>25.511618426416632</v>
      </c>
      <c r="AV7" s="13">
        <f>'4.1 Comptes 2023 natures'!AV7/'4.1 Comptes 2023 natures'!AV3</f>
        <v>88.56266149870801</v>
      </c>
      <c r="AW7" s="13">
        <f>'4.1 Comptes 2023 natures'!AW7/'4.1 Comptes 2023 natures'!AW3</f>
        <v>50.227272727272727</v>
      </c>
      <c r="AX7" s="13">
        <f>'4.1 Comptes 2023 natures'!AX7/'4.1 Comptes 2023 natures'!AX3</f>
        <v>41.829819277108435</v>
      </c>
      <c r="AY7" s="13">
        <f>'4.1 Comptes 2023 natures'!AY7/'4.1 Comptes 2023 natures'!AY3</f>
        <v>35.063752276867028</v>
      </c>
      <c r="AZ7" s="13">
        <f>'4.1 Comptes 2023 natures'!AZ7/'4.1 Comptes 2023 natures'!AZ3</f>
        <v>60.039501312335958</v>
      </c>
      <c r="BA7" s="13">
        <f>'4.1 Comptes 2023 natures'!BA7/'4.1 Comptes 2023 natures'!BA3</f>
        <v>53.57592242194891</v>
      </c>
      <c r="BB7" s="13">
        <f>'4.1 Comptes 2023 natures'!BB7/'4.1 Comptes 2023 natures'!BB3</f>
        <v>37.987077715497655</v>
      </c>
      <c r="BC7" s="13">
        <f>'4.1 Comptes 2023 natures'!BC7/'4.1 Comptes 2023 natures'!BC3</f>
        <v>49.017915904936011</v>
      </c>
      <c r="BD7" s="13">
        <f>'4.1 Comptes 2023 natures'!BD7/'4.1 Comptes 2023 natures'!BD3</f>
        <v>51.106342222460682</v>
      </c>
      <c r="BE7" s="13">
        <f>'4.1 Comptes 2023 natures'!BE7/'4.1 Comptes 2023 natures'!BE3</f>
        <v>51.123383761976797</v>
      </c>
      <c r="BF7" s="13">
        <f>'4.1 Comptes 2023 natures'!BF7/'4.1 Comptes 2023 natures'!BF3</f>
        <v>59.137750451049286</v>
      </c>
      <c r="BG7" s="13">
        <f>'4.1 Comptes 2023 natures'!BG7/'4.1 Comptes 2023 natures'!BG3</f>
        <v>47.606131707517349</v>
      </c>
    </row>
    <row r="8" spans="1:59" x14ac:dyDescent="0.2">
      <c r="C8" s="8">
        <v>301</v>
      </c>
      <c r="D8" s="8" t="s">
        <v>78</v>
      </c>
      <c r="E8" s="13">
        <f>'4.1 Comptes 2023 natures'!E8/'4.1 Comptes 2023 natures'!E3</f>
        <v>383.91992715920912</v>
      </c>
      <c r="F8" s="13">
        <f>'4.1 Comptes 2023 natures'!F8/'4.1 Comptes 2023 natures'!F3</f>
        <v>112.47126436781609</v>
      </c>
      <c r="G8" s="13">
        <f>'4.1 Comptes 2023 natures'!G8/'4.1 Comptes 2023 natures'!G3</f>
        <v>176.92925101214576</v>
      </c>
      <c r="H8" s="13">
        <f>'4.1 Comptes 2023 natures'!H8/'4.1 Comptes 2023 natures'!H3</f>
        <v>447.73179775280897</v>
      </c>
      <c r="I8" s="13">
        <f>'4.1 Comptes 2023 natures'!I8/'4.1 Comptes 2023 natures'!I3</f>
        <v>601.89958821925279</v>
      </c>
      <c r="J8" s="13">
        <f>'4.1 Comptes 2023 natures'!J8/'4.1 Comptes 2023 natures'!J3</f>
        <v>676.95913133097758</v>
      </c>
      <c r="K8" s="13">
        <f>'4.1 Comptes 2023 natures'!K8/'4.1 Comptes 2023 natures'!K3</f>
        <v>287.08744493392066</v>
      </c>
      <c r="L8" s="13">
        <f>'4.1 Comptes 2023 natures'!L8/'4.1 Comptes 2023 natures'!L3</f>
        <v>1594.8961943637648</v>
      </c>
      <c r="M8" s="13">
        <f>'4.1 Comptes 2023 natures'!M8/'4.1 Comptes 2023 natures'!M3</f>
        <v>723.44865160349855</v>
      </c>
      <c r="N8" s="13">
        <f>'4.1 Comptes 2023 natures'!N8/'4.1 Comptes 2023 natures'!N3</f>
        <v>304.66529914529912</v>
      </c>
      <c r="O8" s="13">
        <f>'4.1 Comptes 2023 natures'!O8/'4.1 Comptes 2023 natures'!O3</f>
        <v>420.40930725346374</v>
      </c>
      <c r="P8" s="13">
        <f>'4.1 Comptes 2023 natures'!P8/'4.1 Comptes 2023 natures'!P3</f>
        <v>227.40242990654207</v>
      </c>
      <c r="Q8" s="13">
        <f>'4.1 Comptes 2023 natures'!Q8/'4.1 Comptes 2023 natures'!Q3</f>
        <v>429.12142857142857</v>
      </c>
      <c r="R8" s="13">
        <f>'4.1 Comptes 2023 natures'!R8/'4.1 Comptes 2023 natures'!R3</f>
        <v>424.56619047619046</v>
      </c>
      <c r="S8" s="13">
        <f>'4.1 Comptes 2023 natures'!S8/'4.1 Comptes 2023 natures'!S3</f>
        <v>277.14283667621777</v>
      </c>
      <c r="T8" s="13">
        <f>'4.1 Comptes 2023 natures'!T8/'4.1 Comptes 2023 natures'!T3</f>
        <v>302.30634379263302</v>
      </c>
      <c r="U8" s="13">
        <f>'4.1 Comptes 2023 natures'!U8/'4.1 Comptes 2023 natures'!U3</f>
        <v>307.20146520146523</v>
      </c>
      <c r="V8" s="13">
        <f>'4.1 Comptes 2023 natures'!V8/'4.1 Comptes 2023 natures'!V3</f>
        <v>492.25498839907192</v>
      </c>
      <c r="W8" s="13">
        <f>'4.1 Comptes 2023 natures'!W8/'4.1 Comptes 2023 natures'!W3</f>
        <v>578.87821963903332</v>
      </c>
      <c r="X8" s="13">
        <f>'4.1 Comptes 2023 natures'!X8/'4.1 Comptes 2023 natures'!X3</f>
        <v>214.48885245901639</v>
      </c>
      <c r="Y8" s="13">
        <f>'4.1 Comptes 2023 natures'!Y8/'4.1 Comptes 2023 natures'!Y3</f>
        <v>880.84373003194901</v>
      </c>
      <c r="Z8" s="13">
        <f>'4.1 Comptes 2023 natures'!Z8/'4.1 Comptes 2023 natures'!Z3</f>
        <v>941.76791108404382</v>
      </c>
      <c r="AA8" s="13">
        <f>'4.1 Comptes 2023 natures'!AA8/'4.1 Comptes 2023 natures'!AA3</f>
        <v>326.42583892617449</v>
      </c>
      <c r="AB8" s="13">
        <f>'4.1 Comptes 2023 natures'!AB8/'4.1 Comptes 2023 natures'!AB3</f>
        <v>605.2443137254902</v>
      </c>
      <c r="AC8" s="13">
        <f>'4.1 Comptes 2023 natures'!AC8/'4.1 Comptes 2023 natures'!AC3</f>
        <v>571.18401408450711</v>
      </c>
      <c r="AD8" s="13">
        <f>'4.1 Comptes 2023 natures'!AD8/'4.1 Comptes 2023 natures'!AD3</f>
        <v>618.97694346289757</v>
      </c>
      <c r="AE8" s="13">
        <f>'4.1 Comptes 2023 natures'!AE8/'4.1 Comptes 2023 natures'!AE3</f>
        <v>583.94344488188983</v>
      </c>
      <c r="AF8" s="13">
        <f>'4.1 Comptes 2023 natures'!AF8/'4.1 Comptes 2023 natures'!AF3</f>
        <v>396.16108840061321</v>
      </c>
      <c r="AG8" s="13">
        <f>'4.1 Comptes 2023 natures'!AG8/'4.1 Comptes 2023 natures'!AG3</f>
        <v>617.99853971962614</v>
      </c>
      <c r="AH8" s="13">
        <f>'4.1 Comptes 2023 natures'!AH8/'4.1 Comptes 2023 natures'!AH3</f>
        <v>295.25041841004185</v>
      </c>
      <c r="AI8" s="13">
        <f>'4.1 Comptes 2023 natures'!AI8/'4.1 Comptes 2023 natures'!AI3</f>
        <v>332.6936</v>
      </c>
      <c r="AJ8" s="13">
        <f>'4.1 Comptes 2023 natures'!AJ8/'4.1 Comptes 2023 natures'!AJ3</f>
        <v>293.09106974305195</v>
      </c>
      <c r="AK8" s="13">
        <f>'4.1 Comptes 2023 natures'!AK8/'4.1 Comptes 2023 natures'!AK3</f>
        <v>432.03765432098766</v>
      </c>
      <c r="AL8" s="13">
        <f>'4.1 Comptes 2023 natures'!AL8/'4.1 Comptes 2023 natures'!AL3</f>
        <v>341.23521197007483</v>
      </c>
      <c r="AM8" s="13">
        <f>'4.1 Comptes 2023 natures'!AM8/'4.1 Comptes 2023 natures'!AM3</f>
        <v>305.84428571428572</v>
      </c>
      <c r="AN8" s="13">
        <f>'4.1 Comptes 2023 natures'!AN8/'4.1 Comptes 2023 natures'!AN3</f>
        <v>941.48642186165682</v>
      </c>
      <c r="AO8" s="13">
        <f>'4.1 Comptes 2023 natures'!AO8/'4.1 Comptes 2023 natures'!AO3</f>
        <v>1183.4242442748091</v>
      </c>
      <c r="AP8" s="13">
        <f>'4.1 Comptes 2023 natures'!AP8/'4.1 Comptes 2023 natures'!AP3</f>
        <v>241.5367670364501</v>
      </c>
      <c r="AQ8" s="13">
        <f>'4.1 Comptes 2023 natures'!AQ8/'4.1 Comptes 2023 natures'!AQ3</f>
        <v>874.30714837712515</v>
      </c>
      <c r="AR8" s="13">
        <f>'4.1 Comptes 2023 natures'!AR8/'4.1 Comptes 2023 natures'!AR3</f>
        <v>497.61560332871011</v>
      </c>
      <c r="AS8" s="13">
        <f>'4.1 Comptes 2023 natures'!AS8/'4.1 Comptes 2023 natures'!AS3</f>
        <v>417.12405660377357</v>
      </c>
      <c r="AT8" s="13">
        <f>'4.1 Comptes 2023 natures'!AT8/'4.1 Comptes 2023 natures'!AT3</f>
        <v>246.02404458598727</v>
      </c>
      <c r="AU8" s="13">
        <f>'4.1 Comptes 2023 natures'!AU8/'4.1 Comptes 2023 natures'!AU3</f>
        <v>348.25511618426418</v>
      </c>
      <c r="AV8" s="13">
        <f>'4.1 Comptes 2023 natures'!AV8/'4.1 Comptes 2023 natures'!AV3</f>
        <v>489.0328294573643</v>
      </c>
      <c r="AW8" s="13">
        <f>'4.1 Comptes 2023 natures'!AW8/'4.1 Comptes 2023 natures'!AW3</f>
        <v>286.52939393939391</v>
      </c>
      <c r="AX8" s="13">
        <f>'4.1 Comptes 2023 natures'!AX8/'4.1 Comptes 2023 natures'!AX3</f>
        <v>333.54081325301206</v>
      </c>
      <c r="AY8" s="13">
        <f>'4.1 Comptes 2023 natures'!AY8/'4.1 Comptes 2023 natures'!AY3</f>
        <v>415.78251366120219</v>
      </c>
      <c r="AZ8" s="13">
        <f>'4.1 Comptes 2023 natures'!AZ8/'4.1 Comptes 2023 natures'!AZ3</f>
        <v>249.41535433070865</v>
      </c>
      <c r="BA8" s="13">
        <f>'4.1 Comptes 2023 natures'!BA8/'4.1 Comptes 2023 natures'!BA3</f>
        <v>962.28718070009461</v>
      </c>
      <c r="BB8" s="13">
        <f>'4.1 Comptes 2023 natures'!BB8/'4.1 Comptes 2023 natures'!BB3</f>
        <v>1372.6145174973487</v>
      </c>
      <c r="BC8" s="13">
        <f>'4.1 Comptes 2023 natures'!BC8/'4.1 Comptes 2023 natures'!BC3</f>
        <v>468.88976234003661</v>
      </c>
      <c r="BD8" s="13">
        <f>'4.1 Comptes 2023 natures'!BD8/'4.1 Comptes 2023 natures'!BD3</f>
        <v>777.51483057895609</v>
      </c>
      <c r="BE8" s="13">
        <f>'4.1 Comptes 2023 natures'!BE8/'4.1 Comptes 2023 natures'!BE3</f>
        <v>838.84211245587505</v>
      </c>
      <c r="BF8" s="13">
        <f>'4.1 Comptes 2023 natures'!BF8/'4.1 Comptes 2023 natures'!BF3</f>
        <v>626.61801633273205</v>
      </c>
      <c r="BG8" s="13">
        <f>'4.1 Comptes 2023 natures'!BG8/'4.1 Comptes 2023 natures'!BG3</f>
        <v>742.89867717699212</v>
      </c>
    </row>
    <row r="9" spans="1:59" x14ac:dyDescent="0.2">
      <c r="C9" s="8">
        <v>302</v>
      </c>
      <c r="D9" s="8" t="s">
        <v>79</v>
      </c>
      <c r="E9" s="13">
        <f>'4.1 Comptes 2023 natures'!E9/'4.1 Comptes 2023 natures'!E3</f>
        <v>0</v>
      </c>
      <c r="F9" s="13">
        <f>'4.1 Comptes 2023 natures'!F9/'4.1 Comptes 2023 natures'!F3</f>
        <v>0</v>
      </c>
      <c r="G9" s="13">
        <f>'4.1 Comptes 2023 natures'!G9/'4.1 Comptes 2023 natures'!G3</f>
        <v>0</v>
      </c>
      <c r="H9" s="13">
        <f>'4.1 Comptes 2023 natures'!H9/'4.1 Comptes 2023 natures'!H3</f>
        <v>0</v>
      </c>
      <c r="I9" s="13">
        <f>'4.1 Comptes 2023 natures'!I9/'4.1 Comptes 2023 natures'!I3</f>
        <v>0</v>
      </c>
      <c r="J9" s="13">
        <f>'4.1 Comptes 2023 natures'!J9/'4.1 Comptes 2023 natures'!J3</f>
        <v>0</v>
      </c>
      <c r="K9" s="13">
        <f>'4.1 Comptes 2023 natures'!K9/'4.1 Comptes 2023 natures'!K3</f>
        <v>0</v>
      </c>
      <c r="L9" s="13">
        <f>'4.1 Comptes 2023 natures'!L9/'4.1 Comptes 2023 natures'!L3</f>
        <v>0</v>
      </c>
      <c r="M9" s="13">
        <f>'4.1 Comptes 2023 natures'!M9/'4.1 Comptes 2023 natures'!M3</f>
        <v>0</v>
      </c>
      <c r="N9" s="13">
        <f>'4.1 Comptes 2023 natures'!N9/'4.1 Comptes 2023 natures'!N3</f>
        <v>0</v>
      </c>
      <c r="O9" s="13">
        <f>'4.1 Comptes 2023 natures'!O9/'4.1 Comptes 2023 natures'!O3</f>
        <v>0</v>
      </c>
      <c r="P9" s="13">
        <f>'4.1 Comptes 2023 natures'!P9/'4.1 Comptes 2023 natures'!P3</f>
        <v>0</v>
      </c>
      <c r="Q9" s="13">
        <f>'4.1 Comptes 2023 natures'!Q9/'4.1 Comptes 2023 natures'!Q3</f>
        <v>0</v>
      </c>
      <c r="R9" s="13">
        <f>'4.1 Comptes 2023 natures'!R9/'4.1 Comptes 2023 natures'!R3</f>
        <v>0</v>
      </c>
      <c r="S9" s="13">
        <f>'4.1 Comptes 2023 natures'!S9/'4.1 Comptes 2023 natures'!S3</f>
        <v>0</v>
      </c>
      <c r="T9" s="13">
        <f>'4.1 Comptes 2023 natures'!T9/'4.1 Comptes 2023 natures'!T3</f>
        <v>0</v>
      </c>
      <c r="U9" s="13">
        <f>'4.1 Comptes 2023 natures'!U9/'4.1 Comptes 2023 natures'!U3</f>
        <v>0</v>
      </c>
      <c r="V9" s="13">
        <f>'4.1 Comptes 2023 natures'!V9/'4.1 Comptes 2023 natures'!V3</f>
        <v>0</v>
      </c>
      <c r="W9" s="13">
        <f>'4.1 Comptes 2023 natures'!W9/'4.1 Comptes 2023 natures'!W3</f>
        <v>0</v>
      </c>
      <c r="X9" s="13">
        <f>'4.1 Comptes 2023 natures'!X9/'4.1 Comptes 2023 natures'!X3</f>
        <v>0</v>
      </c>
      <c r="Y9" s="13">
        <f>'4.1 Comptes 2023 natures'!Y9/'4.1 Comptes 2023 natures'!Y3</f>
        <v>0</v>
      </c>
      <c r="Z9" s="13">
        <f>'4.1 Comptes 2023 natures'!Z9/'4.1 Comptes 2023 natures'!Z3</f>
        <v>0</v>
      </c>
      <c r="AA9" s="13">
        <f>'4.1 Comptes 2023 natures'!AA9/'4.1 Comptes 2023 natures'!AA3</f>
        <v>0</v>
      </c>
      <c r="AB9" s="13">
        <f>'4.1 Comptes 2023 natures'!AB9/'4.1 Comptes 2023 natures'!AB3</f>
        <v>0</v>
      </c>
      <c r="AC9" s="13">
        <f>'4.1 Comptes 2023 natures'!AC9/'4.1 Comptes 2023 natures'!AC3</f>
        <v>0</v>
      </c>
      <c r="AD9" s="13">
        <f>'4.1 Comptes 2023 natures'!AD9/'4.1 Comptes 2023 natures'!AD3</f>
        <v>0</v>
      </c>
      <c r="AE9" s="13">
        <f>'4.1 Comptes 2023 natures'!AE9/'4.1 Comptes 2023 natures'!AE3</f>
        <v>0</v>
      </c>
      <c r="AF9" s="13">
        <f>'4.1 Comptes 2023 natures'!AF9/'4.1 Comptes 2023 natures'!AF3</f>
        <v>2.3863055697496169</v>
      </c>
      <c r="AG9" s="13">
        <f>'4.1 Comptes 2023 natures'!AG9/'4.1 Comptes 2023 natures'!AG3</f>
        <v>0</v>
      </c>
      <c r="AH9" s="13">
        <f>'4.1 Comptes 2023 natures'!AH9/'4.1 Comptes 2023 natures'!AH3</f>
        <v>0</v>
      </c>
      <c r="AI9" s="13">
        <f>'4.1 Comptes 2023 natures'!AI9/'4.1 Comptes 2023 natures'!AI3</f>
        <v>0</v>
      </c>
      <c r="AJ9" s="13">
        <f>'4.1 Comptes 2023 natures'!AJ9/'4.1 Comptes 2023 natures'!AJ3</f>
        <v>0</v>
      </c>
      <c r="AK9" s="13">
        <f>'4.1 Comptes 2023 natures'!AK9/'4.1 Comptes 2023 natures'!AK3</f>
        <v>0</v>
      </c>
      <c r="AL9" s="13">
        <f>'4.1 Comptes 2023 natures'!AL9/'4.1 Comptes 2023 natures'!AL3</f>
        <v>0</v>
      </c>
      <c r="AM9" s="13">
        <f>'4.1 Comptes 2023 natures'!AM9/'4.1 Comptes 2023 natures'!AM3</f>
        <v>0</v>
      </c>
      <c r="AN9" s="13">
        <f>'4.1 Comptes 2023 natures'!AN9/'4.1 Comptes 2023 natures'!AN3</f>
        <v>0</v>
      </c>
      <c r="AO9" s="13">
        <f>'4.1 Comptes 2023 natures'!AO9/'4.1 Comptes 2023 natures'!AO3</f>
        <v>0</v>
      </c>
      <c r="AP9" s="13">
        <f>'4.1 Comptes 2023 natures'!AP9/'4.1 Comptes 2023 natures'!AP3</f>
        <v>0</v>
      </c>
      <c r="AQ9" s="13">
        <f>'4.1 Comptes 2023 natures'!AQ9/'4.1 Comptes 2023 natures'!AQ3</f>
        <v>0</v>
      </c>
      <c r="AR9" s="13">
        <f>'4.1 Comptes 2023 natures'!AR9/'4.1 Comptes 2023 natures'!AR3</f>
        <v>0</v>
      </c>
      <c r="AS9" s="13">
        <f>'4.1 Comptes 2023 natures'!AS9/'4.1 Comptes 2023 natures'!AS3</f>
        <v>0</v>
      </c>
      <c r="AT9" s="13">
        <f>'4.1 Comptes 2023 natures'!AT9/'4.1 Comptes 2023 natures'!AT3</f>
        <v>0</v>
      </c>
      <c r="AU9" s="13">
        <f>'4.1 Comptes 2023 natures'!AU9/'4.1 Comptes 2023 natures'!AU3</f>
        <v>0</v>
      </c>
      <c r="AV9" s="13">
        <f>'4.1 Comptes 2023 natures'!AV9/'4.1 Comptes 2023 natures'!AV3</f>
        <v>0</v>
      </c>
      <c r="AW9" s="13">
        <f>'4.1 Comptes 2023 natures'!AW9/'4.1 Comptes 2023 natures'!AW3</f>
        <v>0</v>
      </c>
      <c r="AX9" s="13">
        <f>'4.1 Comptes 2023 natures'!AX9/'4.1 Comptes 2023 natures'!AX3</f>
        <v>0</v>
      </c>
      <c r="AY9" s="13">
        <f>'4.1 Comptes 2023 natures'!AY9/'4.1 Comptes 2023 natures'!AY3</f>
        <v>0</v>
      </c>
      <c r="AZ9" s="13">
        <f>'4.1 Comptes 2023 natures'!AZ9/'4.1 Comptes 2023 natures'!AZ3</f>
        <v>0</v>
      </c>
      <c r="BA9" s="13">
        <f>'4.1 Comptes 2023 natures'!BA9/'4.1 Comptes 2023 natures'!BA3</f>
        <v>0</v>
      </c>
      <c r="BB9" s="13">
        <f>'4.1 Comptes 2023 natures'!BB9/'4.1 Comptes 2023 natures'!BB3</f>
        <v>0</v>
      </c>
      <c r="BC9" s="13">
        <f>'4.1 Comptes 2023 natures'!BC9/'4.1 Comptes 2023 natures'!BC3</f>
        <v>0</v>
      </c>
      <c r="BD9" s="13">
        <f>'4.1 Comptes 2023 natures'!BD9/'4.1 Comptes 2023 natures'!BD3</f>
        <v>6.2644202393089016E-2</v>
      </c>
      <c r="BE9" s="13">
        <f>'4.1 Comptes 2023 natures'!BE9/'4.1 Comptes 2023 natures'!BE3</f>
        <v>0</v>
      </c>
      <c r="BF9" s="13">
        <f>'4.1 Comptes 2023 natures'!BF9/'4.1 Comptes 2023 natures'!BF3</f>
        <v>0.44345266356471369</v>
      </c>
      <c r="BG9" s="13">
        <f>'4.1 Comptes 2023 natures'!BG9/'4.1 Comptes 2023 natures'!BG3</f>
        <v>0</v>
      </c>
    </row>
    <row r="10" spans="1:59" x14ac:dyDescent="0.2">
      <c r="C10" s="8">
        <v>303</v>
      </c>
      <c r="D10" s="8" t="s">
        <v>80</v>
      </c>
      <c r="E10" s="13">
        <f>'4.1 Comptes 2023 natures'!E10/'4.1 Comptes 2023 natures'!E3</f>
        <v>0</v>
      </c>
      <c r="F10" s="13">
        <f>'4.1 Comptes 2023 natures'!F10/'4.1 Comptes 2023 natures'!F3</f>
        <v>0</v>
      </c>
      <c r="G10" s="13">
        <f>'4.1 Comptes 2023 natures'!G10/'4.1 Comptes 2023 natures'!G3</f>
        <v>0</v>
      </c>
      <c r="H10" s="13">
        <f>'4.1 Comptes 2023 natures'!H10/'4.1 Comptes 2023 natures'!H3</f>
        <v>0</v>
      </c>
      <c r="I10" s="13">
        <f>'4.1 Comptes 2023 natures'!I10/'4.1 Comptes 2023 natures'!I3</f>
        <v>0</v>
      </c>
      <c r="J10" s="13">
        <f>'4.1 Comptes 2023 natures'!J10/'4.1 Comptes 2023 natures'!J3</f>
        <v>0</v>
      </c>
      <c r="K10" s="13">
        <f>'4.1 Comptes 2023 natures'!K10/'4.1 Comptes 2023 natures'!K3</f>
        <v>0</v>
      </c>
      <c r="L10" s="13">
        <f>'4.1 Comptes 2023 natures'!L10/'4.1 Comptes 2023 natures'!L3</f>
        <v>0</v>
      </c>
      <c r="M10" s="13">
        <f>'4.1 Comptes 2023 natures'!M10/'4.1 Comptes 2023 natures'!M3</f>
        <v>1.6013119533527698</v>
      </c>
      <c r="N10" s="13">
        <f>'4.1 Comptes 2023 natures'!N10/'4.1 Comptes 2023 natures'!N3</f>
        <v>0</v>
      </c>
      <c r="O10" s="13">
        <f>'4.1 Comptes 2023 natures'!O10/'4.1 Comptes 2023 natures'!O3</f>
        <v>0</v>
      </c>
      <c r="P10" s="13">
        <f>'4.1 Comptes 2023 natures'!P10/'4.1 Comptes 2023 natures'!P3</f>
        <v>0</v>
      </c>
      <c r="Q10" s="13">
        <f>'4.1 Comptes 2023 natures'!Q10/'4.1 Comptes 2023 natures'!Q3</f>
        <v>0</v>
      </c>
      <c r="R10" s="13">
        <f>'4.1 Comptes 2023 natures'!R10/'4.1 Comptes 2023 natures'!R3</f>
        <v>0</v>
      </c>
      <c r="S10" s="13">
        <f>'4.1 Comptes 2023 natures'!S10/'4.1 Comptes 2023 natures'!S3</f>
        <v>0</v>
      </c>
      <c r="T10" s="13">
        <f>'4.1 Comptes 2023 natures'!T10/'4.1 Comptes 2023 natures'!T3</f>
        <v>0</v>
      </c>
      <c r="U10" s="13">
        <f>'4.1 Comptes 2023 natures'!U10/'4.1 Comptes 2023 natures'!U3</f>
        <v>0</v>
      </c>
      <c r="V10" s="13">
        <f>'4.1 Comptes 2023 natures'!V10/'4.1 Comptes 2023 natures'!V3</f>
        <v>0</v>
      </c>
      <c r="W10" s="13">
        <f>'4.1 Comptes 2023 natures'!W10/'4.1 Comptes 2023 natures'!W3</f>
        <v>0</v>
      </c>
      <c r="X10" s="13">
        <f>'4.1 Comptes 2023 natures'!X10/'4.1 Comptes 2023 natures'!X3</f>
        <v>0</v>
      </c>
      <c r="Y10" s="13">
        <f>'4.1 Comptes 2023 natures'!Y10/'4.1 Comptes 2023 natures'!Y3</f>
        <v>0</v>
      </c>
      <c r="Z10" s="13">
        <f>'4.1 Comptes 2023 natures'!Z10/'4.1 Comptes 2023 natures'!Z3</f>
        <v>0</v>
      </c>
      <c r="AA10" s="13">
        <f>'4.1 Comptes 2023 natures'!AA10/'4.1 Comptes 2023 natures'!AA3</f>
        <v>0</v>
      </c>
      <c r="AB10" s="13">
        <f>'4.1 Comptes 2023 natures'!AB10/'4.1 Comptes 2023 natures'!AB3</f>
        <v>0</v>
      </c>
      <c r="AC10" s="13">
        <f>'4.1 Comptes 2023 natures'!AC10/'4.1 Comptes 2023 natures'!AC3</f>
        <v>0</v>
      </c>
      <c r="AD10" s="13">
        <f>'4.1 Comptes 2023 natures'!AD10/'4.1 Comptes 2023 natures'!AD3</f>
        <v>0</v>
      </c>
      <c r="AE10" s="13">
        <f>'4.1 Comptes 2023 natures'!AE10/'4.1 Comptes 2023 natures'!AE3</f>
        <v>0</v>
      </c>
      <c r="AF10" s="13">
        <f>'4.1 Comptes 2023 natures'!AF10/'4.1 Comptes 2023 natures'!AF3</f>
        <v>0</v>
      </c>
      <c r="AG10" s="13">
        <f>'4.1 Comptes 2023 natures'!AG10/'4.1 Comptes 2023 natures'!AG3</f>
        <v>0</v>
      </c>
      <c r="AH10" s="13">
        <f>'4.1 Comptes 2023 natures'!AH10/'4.1 Comptes 2023 natures'!AH3</f>
        <v>0</v>
      </c>
      <c r="AI10" s="13">
        <f>'4.1 Comptes 2023 natures'!AI10/'4.1 Comptes 2023 natures'!AI3</f>
        <v>0</v>
      </c>
      <c r="AJ10" s="13">
        <f>'4.1 Comptes 2023 natures'!AJ10/'4.1 Comptes 2023 natures'!AJ3</f>
        <v>0</v>
      </c>
      <c r="AK10" s="13">
        <f>'4.1 Comptes 2023 natures'!AK10/'4.1 Comptes 2023 natures'!AK3</f>
        <v>0</v>
      </c>
      <c r="AL10" s="13">
        <f>'4.1 Comptes 2023 natures'!AL10/'4.1 Comptes 2023 natures'!AL3</f>
        <v>2.0458852867830424</v>
      </c>
      <c r="AM10" s="13">
        <f>'4.1 Comptes 2023 natures'!AM10/'4.1 Comptes 2023 natures'!AM3</f>
        <v>0</v>
      </c>
      <c r="AN10" s="13">
        <f>'4.1 Comptes 2023 natures'!AN10/'4.1 Comptes 2023 natures'!AN3</f>
        <v>0</v>
      </c>
      <c r="AO10" s="13">
        <f>'4.1 Comptes 2023 natures'!AO10/'4.1 Comptes 2023 natures'!AO3</f>
        <v>0</v>
      </c>
      <c r="AP10" s="13">
        <f>'4.1 Comptes 2023 natures'!AP10/'4.1 Comptes 2023 natures'!AP3</f>
        <v>0</v>
      </c>
      <c r="AQ10" s="13">
        <f>'4.1 Comptes 2023 natures'!AQ10/'4.1 Comptes 2023 natures'!AQ3</f>
        <v>0</v>
      </c>
      <c r="AR10" s="13">
        <f>'4.1 Comptes 2023 natures'!AR10/'4.1 Comptes 2023 natures'!AR3</f>
        <v>0</v>
      </c>
      <c r="AS10" s="13">
        <f>'4.1 Comptes 2023 natures'!AS10/'4.1 Comptes 2023 natures'!AS3</f>
        <v>0</v>
      </c>
      <c r="AT10" s="13">
        <f>'4.1 Comptes 2023 natures'!AT10/'4.1 Comptes 2023 natures'!AT3</f>
        <v>0</v>
      </c>
      <c r="AU10" s="13">
        <f>'4.1 Comptes 2023 natures'!AU10/'4.1 Comptes 2023 natures'!AU3</f>
        <v>0</v>
      </c>
      <c r="AV10" s="13">
        <f>'4.1 Comptes 2023 natures'!AV10/'4.1 Comptes 2023 natures'!AV3</f>
        <v>0.23255813953488372</v>
      </c>
      <c r="AW10" s="13">
        <f>'4.1 Comptes 2023 natures'!AW10/'4.1 Comptes 2023 natures'!AW3</f>
        <v>0</v>
      </c>
      <c r="AX10" s="13">
        <f>'4.1 Comptes 2023 natures'!AX10/'4.1 Comptes 2023 natures'!AX3</f>
        <v>0</v>
      </c>
      <c r="AY10" s="13">
        <f>'4.1 Comptes 2023 natures'!AY10/'4.1 Comptes 2023 natures'!AY3</f>
        <v>0</v>
      </c>
      <c r="AZ10" s="13">
        <f>'4.1 Comptes 2023 natures'!AZ10/'4.1 Comptes 2023 natures'!AZ3</f>
        <v>0</v>
      </c>
      <c r="BA10" s="13">
        <f>'4.1 Comptes 2023 natures'!BA10/'4.1 Comptes 2023 natures'!BA3</f>
        <v>0</v>
      </c>
      <c r="BB10" s="13">
        <f>'4.1 Comptes 2023 natures'!BB10/'4.1 Comptes 2023 natures'!BB3</f>
        <v>0</v>
      </c>
      <c r="BC10" s="13">
        <f>'4.1 Comptes 2023 natures'!BC10/'4.1 Comptes 2023 natures'!BC3</f>
        <v>0</v>
      </c>
      <c r="BD10" s="13">
        <f>'4.1 Comptes 2023 natures'!BD10/'4.1 Comptes 2023 natures'!BD3</f>
        <v>6.4900466813328325E-2</v>
      </c>
      <c r="BE10" s="13">
        <f>'4.1 Comptes 2023 natures'!BE10/'4.1 Comptes 2023 natures'!BE3</f>
        <v>5.5395864851235502E-2</v>
      </c>
      <c r="BF10" s="13">
        <f>'4.1 Comptes 2023 natures'!BF10/'4.1 Comptes 2023 natures'!BF3</f>
        <v>0</v>
      </c>
      <c r="BG10" s="13">
        <f>'4.1 Comptes 2023 natures'!BG10/'4.1 Comptes 2023 natures'!BG3</f>
        <v>0.10843699963049636</v>
      </c>
    </row>
    <row r="11" spans="1:59" x14ac:dyDescent="0.2">
      <c r="C11" s="8">
        <v>304</v>
      </c>
      <c r="D11" s="8" t="s">
        <v>572</v>
      </c>
      <c r="E11" s="13">
        <f>'4.1 Comptes 2023 natures'!E11/'4.1 Comptes 2023 natures'!E3</f>
        <v>0</v>
      </c>
      <c r="F11" s="13">
        <f>'4.1 Comptes 2023 natures'!F11/'4.1 Comptes 2023 natures'!F3</f>
        <v>0</v>
      </c>
      <c r="G11" s="13">
        <f>'4.1 Comptes 2023 natures'!G11/'4.1 Comptes 2023 natures'!G3</f>
        <v>0</v>
      </c>
      <c r="H11" s="13">
        <f>'4.1 Comptes 2023 natures'!H11/'4.1 Comptes 2023 natures'!H3</f>
        <v>0</v>
      </c>
      <c r="I11" s="13">
        <f>'4.1 Comptes 2023 natures'!I11/'4.1 Comptes 2023 natures'!I3</f>
        <v>0</v>
      </c>
      <c r="J11" s="13">
        <f>'4.1 Comptes 2023 natures'!J11/'4.1 Comptes 2023 natures'!J3</f>
        <v>3.440206124852768</v>
      </c>
      <c r="K11" s="13">
        <f>'4.1 Comptes 2023 natures'!K11/'4.1 Comptes 2023 natures'!K3</f>
        <v>0</v>
      </c>
      <c r="L11" s="13">
        <f>'4.1 Comptes 2023 natures'!L11/'4.1 Comptes 2023 natures'!L3</f>
        <v>0</v>
      </c>
      <c r="M11" s="13">
        <f>'4.1 Comptes 2023 natures'!M11/'4.1 Comptes 2023 natures'!M3</f>
        <v>0</v>
      </c>
      <c r="N11" s="13">
        <f>'4.1 Comptes 2023 natures'!N11/'4.1 Comptes 2023 natures'!N3</f>
        <v>0</v>
      </c>
      <c r="O11" s="13">
        <f>'4.1 Comptes 2023 natures'!O11/'4.1 Comptes 2023 natures'!O3</f>
        <v>0</v>
      </c>
      <c r="P11" s="13">
        <f>'4.1 Comptes 2023 natures'!P11/'4.1 Comptes 2023 natures'!P3</f>
        <v>0</v>
      </c>
      <c r="Q11" s="13">
        <f>'4.1 Comptes 2023 natures'!Q11/'4.1 Comptes 2023 natures'!Q3</f>
        <v>0</v>
      </c>
      <c r="R11" s="13">
        <f>'4.1 Comptes 2023 natures'!R11/'4.1 Comptes 2023 natures'!R3</f>
        <v>0</v>
      </c>
      <c r="S11" s="13">
        <f>'4.1 Comptes 2023 natures'!S11/'4.1 Comptes 2023 natures'!S3</f>
        <v>0</v>
      </c>
      <c r="T11" s="13">
        <f>'4.1 Comptes 2023 natures'!T11/'4.1 Comptes 2023 natures'!T3</f>
        <v>4.5293315143246936E-2</v>
      </c>
      <c r="U11" s="13">
        <f>'4.1 Comptes 2023 natures'!U11/'4.1 Comptes 2023 natures'!U3</f>
        <v>0</v>
      </c>
      <c r="V11" s="13">
        <f>'4.1 Comptes 2023 natures'!V11/'4.1 Comptes 2023 natures'!V3</f>
        <v>0</v>
      </c>
      <c r="W11" s="13">
        <f>'4.1 Comptes 2023 natures'!W11/'4.1 Comptes 2023 natures'!W3</f>
        <v>0</v>
      </c>
      <c r="X11" s="13">
        <f>'4.1 Comptes 2023 natures'!X11/'4.1 Comptes 2023 natures'!X3</f>
        <v>0</v>
      </c>
      <c r="Y11" s="13">
        <f>'4.1 Comptes 2023 natures'!Y11/'4.1 Comptes 2023 natures'!Y3</f>
        <v>0</v>
      </c>
      <c r="Z11" s="13">
        <f>'4.1 Comptes 2023 natures'!Z11/'4.1 Comptes 2023 natures'!Z3</f>
        <v>0</v>
      </c>
      <c r="AA11" s="13">
        <f>'4.1 Comptes 2023 natures'!AA11/'4.1 Comptes 2023 natures'!AA3</f>
        <v>0</v>
      </c>
      <c r="AB11" s="13">
        <f>'4.1 Comptes 2023 natures'!AB11/'4.1 Comptes 2023 natures'!AB3</f>
        <v>0</v>
      </c>
      <c r="AC11" s="13">
        <f>'4.1 Comptes 2023 natures'!AC11/'4.1 Comptes 2023 natures'!AC3</f>
        <v>0</v>
      </c>
      <c r="AD11" s="13">
        <f>'4.1 Comptes 2023 natures'!AD11/'4.1 Comptes 2023 natures'!AD3</f>
        <v>0</v>
      </c>
      <c r="AE11" s="13">
        <f>'4.1 Comptes 2023 natures'!AE11/'4.1 Comptes 2023 natures'!AE3</f>
        <v>0</v>
      </c>
      <c r="AF11" s="13">
        <f>'4.1 Comptes 2023 natures'!AF11/'4.1 Comptes 2023 natures'!AF3</f>
        <v>1.021972406745018</v>
      </c>
      <c r="AG11" s="13">
        <f>'4.1 Comptes 2023 natures'!AG11/'4.1 Comptes 2023 natures'!AG3</f>
        <v>7.3987538940809969</v>
      </c>
      <c r="AH11" s="13">
        <f>'4.1 Comptes 2023 natures'!AH11/'4.1 Comptes 2023 natures'!AH3</f>
        <v>0</v>
      </c>
      <c r="AI11" s="13">
        <f>'4.1 Comptes 2023 natures'!AI11/'4.1 Comptes 2023 natures'!AI3</f>
        <v>0</v>
      </c>
      <c r="AJ11" s="13">
        <f>'4.1 Comptes 2023 natures'!AJ11/'4.1 Comptes 2023 natures'!AJ3</f>
        <v>0</v>
      </c>
      <c r="AK11" s="13">
        <f>'4.1 Comptes 2023 natures'!AK11/'4.1 Comptes 2023 natures'!AK3</f>
        <v>0</v>
      </c>
      <c r="AL11" s="13">
        <f>'4.1 Comptes 2023 natures'!AL11/'4.1 Comptes 2023 natures'!AL3</f>
        <v>0</v>
      </c>
      <c r="AM11" s="13">
        <f>'4.1 Comptes 2023 natures'!AM11/'4.1 Comptes 2023 natures'!AM3</f>
        <v>0</v>
      </c>
      <c r="AN11" s="13">
        <f>'4.1 Comptes 2023 natures'!AN11/'4.1 Comptes 2023 natures'!AN3</f>
        <v>0</v>
      </c>
      <c r="AO11" s="13">
        <f>'4.1 Comptes 2023 natures'!AO11/'4.1 Comptes 2023 natures'!AO3</f>
        <v>0</v>
      </c>
      <c r="AP11" s="13">
        <f>'4.1 Comptes 2023 natures'!AP11/'4.1 Comptes 2023 natures'!AP3</f>
        <v>0</v>
      </c>
      <c r="AQ11" s="13">
        <f>'4.1 Comptes 2023 natures'!AQ11/'4.1 Comptes 2023 natures'!AQ3</f>
        <v>0</v>
      </c>
      <c r="AR11" s="13">
        <f>'4.1 Comptes 2023 natures'!AR11/'4.1 Comptes 2023 natures'!AR3</f>
        <v>0</v>
      </c>
      <c r="AS11" s="13">
        <f>'4.1 Comptes 2023 natures'!AS11/'4.1 Comptes 2023 natures'!AS3</f>
        <v>1.2971698113207548</v>
      </c>
      <c r="AT11" s="13">
        <f>'4.1 Comptes 2023 natures'!AT11/'4.1 Comptes 2023 natures'!AT3</f>
        <v>0</v>
      </c>
      <c r="AU11" s="13">
        <f>'4.1 Comptes 2023 natures'!AU11/'4.1 Comptes 2023 natures'!AU3</f>
        <v>0</v>
      </c>
      <c r="AV11" s="13">
        <f>'4.1 Comptes 2023 natures'!AV11/'4.1 Comptes 2023 natures'!AV3</f>
        <v>0</v>
      </c>
      <c r="AW11" s="13">
        <f>'4.1 Comptes 2023 natures'!AW11/'4.1 Comptes 2023 natures'!AW3</f>
        <v>0</v>
      </c>
      <c r="AX11" s="13">
        <f>'4.1 Comptes 2023 natures'!AX11/'4.1 Comptes 2023 natures'!AX3</f>
        <v>0</v>
      </c>
      <c r="AY11" s="13">
        <f>'4.1 Comptes 2023 natures'!AY11/'4.1 Comptes 2023 natures'!AY3</f>
        <v>0</v>
      </c>
      <c r="AZ11" s="13">
        <f>'4.1 Comptes 2023 natures'!AZ11/'4.1 Comptes 2023 natures'!AZ3</f>
        <v>0</v>
      </c>
      <c r="BA11" s="13">
        <f>'4.1 Comptes 2023 natures'!BA11/'4.1 Comptes 2023 natures'!BA3</f>
        <v>0</v>
      </c>
      <c r="BB11" s="13">
        <f>'4.1 Comptes 2023 natures'!BB11/'4.1 Comptes 2023 natures'!BB3</f>
        <v>0</v>
      </c>
      <c r="BC11" s="13">
        <f>'4.1 Comptes 2023 natures'!BC11/'4.1 Comptes 2023 natures'!BC3</f>
        <v>0</v>
      </c>
      <c r="BD11" s="13">
        <f>'4.1 Comptes 2023 natures'!BD11/'4.1 Comptes 2023 natures'!BD3</f>
        <v>0.45730455545420401</v>
      </c>
      <c r="BE11" s="13">
        <f>'4.1 Comptes 2023 natures'!BE11/'4.1 Comptes 2023 natures'!BE3</f>
        <v>0.29541452344931923</v>
      </c>
      <c r="BF11" s="13">
        <f>'4.1 Comptes 2023 natures'!BF11/'4.1 Comptes 2023 natures'!BF3</f>
        <v>1.9941126198841514</v>
      </c>
      <c r="BG11" s="13">
        <f>'4.1 Comptes 2023 natures'!BG11/'4.1 Comptes 2023 natures'!BG3</f>
        <v>5.6451943999671551E-2</v>
      </c>
    </row>
    <row r="12" spans="1:59" x14ac:dyDescent="0.2">
      <c r="C12" s="8">
        <v>305</v>
      </c>
      <c r="D12" s="8" t="s">
        <v>81</v>
      </c>
      <c r="E12" s="13">
        <f>'4.1 Comptes 2023 natures'!E12/'4.1 Comptes 2023 natures'!E3</f>
        <v>69.665452653485957</v>
      </c>
      <c r="F12" s="13">
        <f>'4.1 Comptes 2023 natures'!F12/'4.1 Comptes 2023 natures'!F3</f>
        <v>13.036973180076629</v>
      </c>
      <c r="G12" s="13">
        <f>'4.1 Comptes 2023 natures'!G12/'4.1 Comptes 2023 natures'!G3</f>
        <v>31.931882591093117</v>
      </c>
      <c r="H12" s="13">
        <f>'4.1 Comptes 2023 natures'!H12/'4.1 Comptes 2023 natures'!H3</f>
        <v>93.944606741573025</v>
      </c>
      <c r="I12" s="13">
        <f>'4.1 Comptes 2023 natures'!I12/'4.1 Comptes 2023 natures'!I3</f>
        <v>139.48564221434415</v>
      </c>
      <c r="J12" s="13">
        <f>'4.1 Comptes 2023 natures'!J12/'4.1 Comptes 2023 natures'!J3</f>
        <v>160.69090106007067</v>
      </c>
      <c r="K12" s="13">
        <f>'4.1 Comptes 2023 natures'!K12/'4.1 Comptes 2023 natures'!K3</f>
        <v>72.443245227606454</v>
      </c>
      <c r="L12" s="13">
        <f>'4.1 Comptes 2023 natures'!L12/'4.1 Comptes 2023 natures'!L3</f>
        <v>328.8475665279849</v>
      </c>
      <c r="M12" s="13">
        <f>'4.1 Comptes 2023 natures'!M12/'4.1 Comptes 2023 natures'!M3</f>
        <v>129.7915087463557</v>
      </c>
      <c r="N12" s="13">
        <f>'4.1 Comptes 2023 natures'!N12/'4.1 Comptes 2023 natures'!N3</f>
        <v>49.535042735042737</v>
      </c>
      <c r="O12" s="13">
        <f>'4.1 Comptes 2023 natures'!O12/'4.1 Comptes 2023 natures'!O3</f>
        <v>84.60832654170062</v>
      </c>
      <c r="P12" s="13">
        <f>'4.1 Comptes 2023 natures'!P12/'4.1 Comptes 2023 natures'!P3</f>
        <v>43.708598130841118</v>
      </c>
      <c r="Q12" s="13">
        <f>'4.1 Comptes 2023 natures'!Q12/'4.1 Comptes 2023 natures'!Q3</f>
        <v>81.546428571428578</v>
      </c>
      <c r="R12" s="13">
        <f>'4.1 Comptes 2023 natures'!R12/'4.1 Comptes 2023 natures'!R3</f>
        <v>82.296071428571423</v>
      </c>
      <c r="S12" s="13">
        <f>'4.1 Comptes 2023 natures'!S12/'4.1 Comptes 2023 natures'!S3</f>
        <v>61.012464183381084</v>
      </c>
      <c r="T12" s="13">
        <f>'4.1 Comptes 2023 natures'!T12/'4.1 Comptes 2023 natures'!T3</f>
        <v>55.96180081855389</v>
      </c>
      <c r="U12" s="13">
        <f>'4.1 Comptes 2023 natures'!U12/'4.1 Comptes 2023 natures'!U3</f>
        <v>46.870805860805859</v>
      </c>
      <c r="V12" s="13">
        <f>'4.1 Comptes 2023 natures'!V12/'4.1 Comptes 2023 natures'!V3</f>
        <v>102.5399071925754</v>
      </c>
      <c r="W12" s="13">
        <f>'4.1 Comptes 2023 natures'!W12/'4.1 Comptes 2023 natures'!W3</f>
        <v>114.77759253594371</v>
      </c>
      <c r="X12" s="13">
        <f>'4.1 Comptes 2023 natures'!X12/'4.1 Comptes 2023 natures'!X3</f>
        <v>33.367704918032786</v>
      </c>
      <c r="Y12" s="13">
        <f>'4.1 Comptes 2023 natures'!Y12/'4.1 Comptes 2023 natures'!Y3</f>
        <v>161.00662939297123</v>
      </c>
      <c r="Z12" s="13">
        <f>'4.1 Comptes 2023 natures'!Z12/'4.1 Comptes 2023 natures'!Z3</f>
        <v>178.20331912302069</v>
      </c>
      <c r="AA12" s="13">
        <f>'4.1 Comptes 2023 natures'!AA12/'4.1 Comptes 2023 natures'!AA3</f>
        <v>45.976174496644298</v>
      </c>
      <c r="AB12" s="13">
        <f>'4.1 Comptes 2023 natures'!AB12/'4.1 Comptes 2023 natures'!AB3</f>
        <v>119.35343137254903</v>
      </c>
      <c r="AC12" s="13">
        <f>'4.1 Comptes 2023 natures'!AC12/'4.1 Comptes 2023 natures'!AC3</f>
        <v>107.84802816901409</v>
      </c>
      <c r="AD12" s="13">
        <f>'4.1 Comptes 2023 natures'!AD12/'4.1 Comptes 2023 natures'!AD3</f>
        <v>121.80998233215547</v>
      </c>
      <c r="AE12" s="13">
        <f>'4.1 Comptes 2023 natures'!AE12/'4.1 Comptes 2023 natures'!AE3</f>
        <v>115.79045275590552</v>
      </c>
      <c r="AF12" s="13">
        <f>'4.1 Comptes 2023 natures'!AF12/'4.1 Comptes 2023 natures'!AF3</f>
        <v>86.775396014307617</v>
      </c>
      <c r="AG12" s="13">
        <f>'4.1 Comptes 2023 natures'!AG12/'4.1 Comptes 2023 natures'!AG3</f>
        <v>118.94320482866044</v>
      </c>
      <c r="AH12" s="13">
        <f>'4.1 Comptes 2023 natures'!AH12/'4.1 Comptes 2023 natures'!AH3</f>
        <v>49.157322175732219</v>
      </c>
      <c r="AI12" s="13">
        <f>'4.1 Comptes 2023 natures'!AI12/'4.1 Comptes 2023 natures'!AI3</f>
        <v>70.957999999999998</v>
      </c>
      <c r="AJ12" s="13">
        <f>'4.1 Comptes 2023 natures'!AJ12/'4.1 Comptes 2023 natures'!AJ3</f>
        <v>55.339276350288408</v>
      </c>
      <c r="AK12" s="13">
        <f>'4.1 Comptes 2023 natures'!AK12/'4.1 Comptes 2023 natures'!AK3</f>
        <v>90.261772486772486</v>
      </c>
      <c r="AL12" s="13">
        <f>'4.1 Comptes 2023 natures'!AL12/'4.1 Comptes 2023 natures'!AL3</f>
        <v>68.977265170407307</v>
      </c>
      <c r="AM12" s="13">
        <f>'4.1 Comptes 2023 natures'!AM12/'4.1 Comptes 2023 natures'!AM3</f>
        <v>109.40321428571428</v>
      </c>
      <c r="AN12" s="13">
        <f>'4.1 Comptes 2023 natures'!AN12/'4.1 Comptes 2023 natures'!AN3</f>
        <v>177.53701964133219</v>
      </c>
      <c r="AO12" s="13">
        <f>'4.1 Comptes 2023 natures'!AO12/'4.1 Comptes 2023 natures'!AO3</f>
        <v>223.3190076335878</v>
      </c>
      <c r="AP12" s="13">
        <f>'4.1 Comptes 2023 natures'!AP12/'4.1 Comptes 2023 natures'!AP3</f>
        <v>58.20839936608558</v>
      </c>
      <c r="AQ12" s="13">
        <f>'4.1 Comptes 2023 natures'!AQ12/'4.1 Comptes 2023 natures'!AQ3</f>
        <v>157.60923493044822</v>
      </c>
      <c r="AR12" s="13">
        <f>'4.1 Comptes 2023 natures'!AR12/'4.1 Comptes 2023 natures'!AR3</f>
        <v>102.1116504854369</v>
      </c>
      <c r="AS12" s="13">
        <f>'4.1 Comptes 2023 natures'!AS12/'4.1 Comptes 2023 natures'!AS3</f>
        <v>75.559669811320759</v>
      </c>
      <c r="AT12" s="13">
        <f>'4.1 Comptes 2023 natures'!AT12/'4.1 Comptes 2023 natures'!AT3</f>
        <v>49.928025477707003</v>
      </c>
      <c r="AU12" s="13">
        <f>'4.1 Comptes 2023 natures'!AU12/'4.1 Comptes 2023 natures'!AU3</f>
        <v>80.412128006522636</v>
      </c>
      <c r="AV12" s="13">
        <f>'4.1 Comptes 2023 natures'!AV12/'4.1 Comptes 2023 natures'!AV3</f>
        <v>88.063242894056842</v>
      </c>
      <c r="AW12" s="13">
        <f>'4.1 Comptes 2023 natures'!AW12/'4.1 Comptes 2023 natures'!AW3</f>
        <v>63.791873278236913</v>
      </c>
      <c r="AX12" s="13">
        <f>'4.1 Comptes 2023 natures'!AX12/'4.1 Comptes 2023 natures'!AX3</f>
        <v>66.512349397590356</v>
      </c>
      <c r="AY12" s="13">
        <f>'4.1 Comptes 2023 natures'!AY12/'4.1 Comptes 2023 natures'!AY3</f>
        <v>92.465391621129328</v>
      </c>
      <c r="AZ12" s="13">
        <f>'4.1 Comptes 2023 natures'!AZ12/'4.1 Comptes 2023 natures'!AZ3</f>
        <v>54.693700787401575</v>
      </c>
      <c r="BA12" s="13">
        <f>'4.1 Comptes 2023 natures'!BA12/'4.1 Comptes 2023 natures'!BA3</f>
        <v>205.26499526963104</v>
      </c>
      <c r="BB12" s="13">
        <f>'4.1 Comptes 2023 natures'!BB12/'4.1 Comptes 2023 natures'!BB3</f>
        <v>299.3647629147099</v>
      </c>
      <c r="BC12" s="13">
        <f>'4.1 Comptes 2023 natures'!BC12/'4.1 Comptes 2023 natures'!BC3</f>
        <v>94.91215722120657</v>
      </c>
      <c r="BD12" s="13">
        <f>'4.1 Comptes 2023 natures'!BD12/'4.1 Comptes 2023 natures'!BD3</f>
        <v>161.08337701883346</v>
      </c>
      <c r="BE12" s="13">
        <f>'4.1 Comptes 2023 natures'!BE12/'4.1 Comptes 2023 natures'!BE3</f>
        <v>174.98751840645485</v>
      </c>
      <c r="BF12" s="13">
        <f>'4.1 Comptes 2023 natures'!BF12/'4.1 Comptes 2023 natures'!BF3</f>
        <v>120.81569176716364</v>
      </c>
      <c r="BG12" s="13">
        <f>'4.1 Comptes 2023 natures'!BG12/'4.1 Comptes 2023 natures'!BG3</f>
        <v>155.85369955249007</v>
      </c>
    </row>
    <row r="13" spans="1:59" x14ac:dyDescent="0.2">
      <c r="C13" s="8">
        <v>306</v>
      </c>
      <c r="D13" s="8" t="s">
        <v>82</v>
      </c>
      <c r="E13" s="13">
        <f>'4.1 Comptes 2023 natures'!E13/'4.1 Comptes 2023 natures'!E3</f>
        <v>0</v>
      </c>
      <c r="F13" s="13">
        <f>'4.1 Comptes 2023 natures'!F13/'4.1 Comptes 2023 natures'!F3</f>
        <v>0</v>
      </c>
      <c r="G13" s="13">
        <f>'4.1 Comptes 2023 natures'!G13/'4.1 Comptes 2023 natures'!G3</f>
        <v>0</v>
      </c>
      <c r="H13" s="13">
        <f>'4.1 Comptes 2023 natures'!H13/'4.1 Comptes 2023 natures'!H3</f>
        <v>0</v>
      </c>
      <c r="I13" s="13">
        <f>'4.1 Comptes 2023 natures'!I13/'4.1 Comptes 2023 natures'!I3</f>
        <v>0.67032997000272698</v>
      </c>
      <c r="J13" s="13">
        <f>'4.1 Comptes 2023 natures'!J13/'4.1 Comptes 2023 natures'!J3</f>
        <v>0</v>
      </c>
      <c r="K13" s="13">
        <f>'4.1 Comptes 2023 natures'!K13/'4.1 Comptes 2023 natures'!K3</f>
        <v>0</v>
      </c>
      <c r="L13" s="13">
        <f>'4.1 Comptes 2023 natures'!L13/'4.1 Comptes 2023 natures'!L3</f>
        <v>3.490391710495329</v>
      </c>
      <c r="M13" s="13">
        <f>'4.1 Comptes 2023 natures'!M13/'4.1 Comptes 2023 natures'!M3</f>
        <v>0</v>
      </c>
      <c r="N13" s="13">
        <f>'4.1 Comptes 2023 natures'!N13/'4.1 Comptes 2023 natures'!N3</f>
        <v>0</v>
      </c>
      <c r="O13" s="13">
        <f>'4.1 Comptes 2023 natures'!O13/'4.1 Comptes 2023 natures'!O3</f>
        <v>0</v>
      </c>
      <c r="P13" s="13">
        <f>'4.1 Comptes 2023 natures'!P13/'4.1 Comptes 2023 natures'!P3</f>
        <v>0</v>
      </c>
      <c r="Q13" s="13">
        <f>'4.1 Comptes 2023 natures'!Q13/'4.1 Comptes 2023 natures'!Q3</f>
        <v>0</v>
      </c>
      <c r="R13" s="13">
        <f>'4.1 Comptes 2023 natures'!R13/'4.1 Comptes 2023 natures'!R3</f>
        <v>0</v>
      </c>
      <c r="S13" s="13">
        <f>'4.1 Comptes 2023 natures'!S13/'4.1 Comptes 2023 natures'!S3</f>
        <v>0</v>
      </c>
      <c r="T13" s="13">
        <f>'4.1 Comptes 2023 natures'!T13/'4.1 Comptes 2023 natures'!T3</f>
        <v>0</v>
      </c>
      <c r="U13" s="13">
        <f>'4.1 Comptes 2023 natures'!U13/'4.1 Comptes 2023 natures'!U3</f>
        <v>0</v>
      </c>
      <c r="V13" s="13">
        <f>'4.1 Comptes 2023 natures'!V13/'4.1 Comptes 2023 natures'!V3</f>
        <v>0</v>
      </c>
      <c r="W13" s="13">
        <f>'4.1 Comptes 2023 natures'!W13/'4.1 Comptes 2023 natures'!W3</f>
        <v>0</v>
      </c>
      <c r="X13" s="13">
        <f>'4.1 Comptes 2023 natures'!X13/'4.1 Comptes 2023 natures'!X3</f>
        <v>0</v>
      </c>
      <c r="Y13" s="13">
        <f>'4.1 Comptes 2023 natures'!Y13/'4.1 Comptes 2023 natures'!Y3</f>
        <v>0</v>
      </c>
      <c r="Z13" s="13">
        <f>'4.1 Comptes 2023 natures'!Z13/'4.1 Comptes 2023 natures'!Z3</f>
        <v>0.30450669914738127</v>
      </c>
      <c r="AA13" s="13">
        <f>'4.1 Comptes 2023 natures'!AA13/'4.1 Comptes 2023 natures'!AA3</f>
        <v>0</v>
      </c>
      <c r="AB13" s="13">
        <f>'4.1 Comptes 2023 natures'!AB13/'4.1 Comptes 2023 natures'!AB3</f>
        <v>0</v>
      </c>
      <c r="AC13" s="13">
        <f>'4.1 Comptes 2023 natures'!AC13/'4.1 Comptes 2023 natures'!AC3</f>
        <v>0</v>
      </c>
      <c r="AD13" s="13">
        <f>'4.1 Comptes 2023 natures'!AD13/'4.1 Comptes 2023 natures'!AD3</f>
        <v>53.003533568904594</v>
      </c>
      <c r="AE13" s="13">
        <f>'4.1 Comptes 2023 natures'!AE13/'4.1 Comptes 2023 natures'!AE3</f>
        <v>0</v>
      </c>
      <c r="AF13" s="13">
        <f>'4.1 Comptes 2023 natures'!AF13/'4.1 Comptes 2023 natures'!AF3</f>
        <v>0</v>
      </c>
      <c r="AG13" s="13">
        <f>'4.1 Comptes 2023 natures'!AG13/'4.1 Comptes 2023 natures'!AG3</f>
        <v>0</v>
      </c>
      <c r="AH13" s="13">
        <f>'4.1 Comptes 2023 natures'!AH13/'4.1 Comptes 2023 natures'!AH3</f>
        <v>0</v>
      </c>
      <c r="AI13" s="13">
        <f>'4.1 Comptes 2023 natures'!AI13/'4.1 Comptes 2023 natures'!AI3</f>
        <v>0</v>
      </c>
      <c r="AJ13" s="13">
        <f>'4.1 Comptes 2023 natures'!AJ13/'4.1 Comptes 2023 natures'!AJ3</f>
        <v>0</v>
      </c>
      <c r="AK13" s="13">
        <f>'4.1 Comptes 2023 natures'!AK13/'4.1 Comptes 2023 natures'!AK3</f>
        <v>0</v>
      </c>
      <c r="AL13" s="13">
        <f>'4.1 Comptes 2023 natures'!AL13/'4.1 Comptes 2023 natures'!AL3</f>
        <v>0</v>
      </c>
      <c r="AM13" s="13">
        <f>'4.1 Comptes 2023 natures'!AM13/'4.1 Comptes 2023 natures'!AM3</f>
        <v>0</v>
      </c>
      <c r="AN13" s="13">
        <f>'4.1 Comptes 2023 natures'!AN13/'4.1 Comptes 2023 natures'!AN3</f>
        <v>0</v>
      </c>
      <c r="AO13" s="13">
        <f>'4.1 Comptes 2023 natures'!AO13/'4.1 Comptes 2023 natures'!AO3</f>
        <v>0</v>
      </c>
      <c r="AP13" s="13">
        <f>'4.1 Comptes 2023 natures'!AP13/'4.1 Comptes 2023 natures'!AP3</f>
        <v>0</v>
      </c>
      <c r="AQ13" s="13">
        <f>'4.1 Comptes 2023 natures'!AQ13/'4.1 Comptes 2023 natures'!AQ3</f>
        <v>0</v>
      </c>
      <c r="AR13" s="13">
        <f>'4.1 Comptes 2023 natures'!AR13/'4.1 Comptes 2023 natures'!AR3</f>
        <v>0</v>
      </c>
      <c r="AS13" s="13">
        <f>'4.1 Comptes 2023 natures'!AS13/'4.1 Comptes 2023 natures'!AS3</f>
        <v>0</v>
      </c>
      <c r="AT13" s="13">
        <f>'4.1 Comptes 2023 natures'!AT13/'4.1 Comptes 2023 natures'!AT3</f>
        <v>0</v>
      </c>
      <c r="AU13" s="13">
        <f>'4.1 Comptes 2023 natures'!AU13/'4.1 Comptes 2023 natures'!AU3</f>
        <v>0</v>
      </c>
      <c r="AV13" s="13">
        <f>'4.1 Comptes 2023 natures'!AV13/'4.1 Comptes 2023 natures'!AV3</f>
        <v>0</v>
      </c>
      <c r="AW13" s="13">
        <f>'4.1 Comptes 2023 natures'!AW13/'4.1 Comptes 2023 natures'!AW3</f>
        <v>0</v>
      </c>
      <c r="AX13" s="13">
        <f>'4.1 Comptes 2023 natures'!AX13/'4.1 Comptes 2023 natures'!AX3</f>
        <v>0</v>
      </c>
      <c r="AY13" s="13">
        <f>'4.1 Comptes 2023 natures'!AY13/'4.1 Comptes 2023 natures'!AY3</f>
        <v>0</v>
      </c>
      <c r="AZ13" s="13">
        <f>'4.1 Comptes 2023 natures'!AZ13/'4.1 Comptes 2023 natures'!AZ3</f>
        <v>0</v>
      </c>
      <c r="BA13" s="13">
        <f>'4.1 Comptes 2023 natures'!BA13/'4.1 Comptes 2023 natures'!BA3</f>
        <v>0</v>
      </c>
      <c r="BB13" s="13">
        <f>'4.1 Comptes 2023 natures'!BB13/'4.1 Comptes 2023 natures'!BB3</f>
        <v>0</v>
      </c>
      <c r="BC13" s="13">
        <f>'4.1 Comptes 2023 natures'!BC13/'4.1 Comptes 2023 natures'!BC3</f>
        <v>0</v>
      </c>
      <c r="BD13" s="13">
        <f>'4.1 Comptes 2023 natures'!BD13/'4.1 Comptes 2023 natures'!BD3</f>
        <v>1.0385550249503674</v>
      </c>
      <c r="BE13" s="13">
        <f>'4.1 Comptes 2023 natures'!BE13/'4.1 Comptes 2023 natures'!BE3</f>
        <v>1.1831114473020674</v>
      </c>
      <c r="BF13" s="13">
        <f>'4.1 Comptes 2023 natures'!BF13/'4.1 Comptes 2023 natures'!BF3</f>
        <v>2.8962111860222199</v>
      </c>
      <c r="BG13" s="13">
        <f>'4.1 Comptes 2023 natures'!BG13/'4.1 Comptes 2023 natures'!BG3</f>
        <v>0</v>
      </c>
    </row>
    <row r="14" spans="1:59" x14ac:dyDescent="0.2">
      <c r="C14" s="8">
        <v>309</v>
      </c>
      <c r="D14" s="8" t="s">
        <v>83</v>
      </c>
      <c r="E14" s="13">
        <f>'4.1 Comptes 2023 natures'!E14/'4.1 Comptes 2023 natures'!E3</f>
        <v>4.3117065556711758</v>
      </c>
      <c r="F14" s="13">
        <f>'4.1 Comptes 2023 natures'!F14/'4.1 Comptes 2023 natures'!F3</f>
        <v>1.8111111111111111</v>
      </c>
      <c r="G14" s="13">
        <f>'4.1 Comptes 2023 natures'!G14/'4.1 Comptes 2023 natures'!G3</f>
        <v>2.6295546558704452</v>
      </c>
      <c r="H14" s="13">
        <f>'4.1 Comptes 2023 natures'!H14/'4.1 Comptes 2023 natures'!H3</f>
        <v>0</v>
      </c>
      <c r="I14" s="13">
        <f>'4.1 Comptes 2023 natures'!I14/'4.1 Comptes 2023 natures'!I3</f>
        <v>4.7965175893100636</v>
      </c>
      <c r="J14" s="13">
        <f>'4.1 Comptes 2023 natures'!J14/'4.1 Comptes 2023 natures'!J3</f>
        <v>8.5564988221436984</v>
      </c>
      <c r="K14" s="13">
        <f>'4.1 Comptes 2023 natures'!K14/'4.1 Comptes 2023 natures'!K3</f>
        <v>6.5516152716593243</v>
      </c>
      <c r="L14" s="13">
        <f>'4.1 Comptes 2023 natures'!L14/'4.1 Comptes 2023 natures'!L3</f>
        <v>19.218555616610409</v>
      </c>
      <c r="M14" s="13">
        <f>'4.1 Comptes 2023 natures'!M14/'4.1 Comptes 2023 natures'!M3</f>
        <v>17.940342565597668</v>
      </c>
      <c r="N14" s="13">
        <f>'4.1 Comptes 2023 natures'!N14/'4.1 Comptes 2023 natures'!N3</f>
        <v>8.0341880341880341</v>
      </c>
      <c r="O14" s="13">
        <f>'4.1 Comptes 2023 natures'!O14/'4.1 Comptes 2023 natures'!O3</f>
        <v>5.0086253735397985</v>
      </c>
      <c r="P14" s="13">
        <f>'4.1 Comptes 2023 natures'!P14/'4.1 Comptes 2023 natures'!P3</f>
        <v>19.594018691588783</v>
      </c>
      <c r="Q14" s="13">
        <f>'4.1 Comptes 2023 natures'!Q14/'4.1 Comptes 2023 natures'!Q3</f>
        <v>15.5</v>
      </c>
      <c r="R14" s="13">
        <f>'4.1 Comptes 2023 natures'!R14/'4.1 Comptes 2023 natures'!R3</f>
        <v>5.7248809523809516</v>
      </c>
      <c r="S14" s="13">
        <f>'4.1 Comptes 2023 natures'!S14/'4.1 Comptes 2023 natures'!S3</f>
        <v>11.524212034383954</v>
      </c>
      <c r="T14" s="13">
        <f>'4.1 Comptes 2023 natures'!T14/'4.1 Comptes 2023 natures'!T3</f>
        <v>6.7918144611186895</v>
      </c>
      <c r="U14" s="13">
        <f>'4.1 Comptes 2023 natures'!U14/'4.1 Comptes 2023 natures'!U3</f>
        <v>23.660805860805858</v>
      </c>
      <c r="V14" s="13">
        <f>'4.1 Comptes 2023 natures'!V14/'4.1 Comptes 2023 natures'!V3</f>
        <v>10.147447795823666</v>
      </c>
      <c r="W14" s="13">
        <f>'4.1 Comptes 2023 natures'!W14/'4.1 Comptes 2023 natures'!W3</f>
        <v>8.3703579076170076</v>
      </c>
      <c r="X14" s="13">
        <f>'4.1 Comptes 2023 natures'!X14/'4.1 Comptes 2023 natures'!X3</f>
        <v>9.4514754098360658</v>
      </c>
      <c r="Y14" s="13">
        <f>'4.1 Comptes 2023 natures'!Y14/'4.1 Comptes 2023 natures'!Y3</f>
        <v>21.270926517571887</v>
      </c>
      <c r="Z14" s="13">
        <f>'4.1 Comptes 2023 natures'!Z14/'4.1 Comptes 2023 natures'!Z3</f>
        <v>13.799451887941535</v>
      </c>
      <c r="AA14" s="13">
        <f>'4.1 Comptes 2023 natures'!AA14/'4.1 Comptes 2023 natures'!AA3</f>
        <v>0</v>
      </c>
      <c r="AB14" s="13">
        <f>'4.1 Comptes 2023 natures'!AB14/'4.1 Comptes 2023 natures'!AB3</f>
        <v>15.396960784313725</v>
      </c>
      <c r="AC14" s="13">
        <f>'4.1 Comptes 2023 natures'!AC14/'4.1 Comptes 2023 natures'!AC3</f>
        <v>15.659718309859155</v>
      </c>
      <c r="AD14" s="13">
        <f>'4.1 Comptes 2023 natures'!AD14/'4.1 Comptes 2023 natures'!AD3</f>
        <v>10.588869257950531</v>
      </c>
      <c r="AE14" s="13">
        <f>'4.1 Comptes 2023 natures'!AE14/'4.1 Comptes 2023 natures'!AE3</f>
        <v>9.0777559055118111</v>
      </c>
      <c r="AF14" s="13">
        <f>'4.1 Comptes 2023 natures'!AF14/'4.1 Comptes 2023 natures'!AF3</f>
        <v>9.5685232498722534</v>
      </c>
      <c r="AG14" s="13">
        <f>'4.1 Comptes 2023 natures'!AG14/'4.1 Comptes 2023 natures'!AG3</f>
        <v>6.5372274143302178</v>
      </c>
      <c r="AH14" s="13">
        <f>'4.1 Comptes 2023 natures'!AH14/'4.1 Comptes 2023 natures'!AH3</f>
        <v>0</v>
      </c>
      <c r="AI14" s="13">
        <f>'4.1 Comptes 2023 natures'!AI14/'4.1 Comptes 2023 natures'!AI3</f>
        <v>2.9615999999999998</v>
      </c>
      <c r="AJ14" s="13">
        <f>'4.1 Comptes 2023 natures'!AJ14/'4.1 Comptes 2023 natures'!AJ3</f>
        <v>3.8238594651284741</v>
      </c>
      <c r="AK14" s="13">
        <f>'4.1 Comptes 2023 natures'!AK14/'4.1 Comptes 2023 natures'!AK3</f>
        <v>2.9506172839506171</v>
      </c>
      <c r="AL14" s="13">
        <f>'4.1 Comptes 2023 natures'!AL14/'4.1 Comptes 2023 natures'!AL3</f>
        <v>9.4832917705735653</v>
      </c>
      <c r="AM14" s="13">
        <f>'4.1 Comptes 2023 natures'!AM14/'4.1 Comptes 2023 natures'!AM3</f>
        <v>46.510624999999997</v>
      </c>
      <c r="AN14" s="13">
        <f>'4.1 Comptes 2023 natures'!AN14/'4.1 Comptes 2023 natures'!AN3</f>
        <v>16.690307429547396</v>
      </c>
      <c r="AO14" s="13">
        <f>'4.1 Comptes 2023 natures'!AO14/'4.1 Comptes 2023 natures'!AO3</f>
        <v>11.216564885496183</v>
      </c>
      <c r="AP14" s="13">
        <f>'4.1 Comptes 2023 natures'!AP14/'4.1 Comptes 2023 natures'!AP3</f>
        <v>8.4189381933438998</v>
      </c>
      <c r="AQ14" s="13">
        <f>'4.1 Comptes 2023 natures'!AQ14/'4.1 Comptes 2023 natures'!AQ3</f>
        <v>6.2004250386398763</v>
      </c>
      <c r="AR14" s="13">
        <f>'4.1 Comptes 2023 natures'!AR14/'4.1 Comptes 2023 natures'!AR3</f>
        <v>1.2486823855755893</v>
      </c>
      <c r="AS14" s="13">
        <f>'4.1 Comptes 2023 natures'!AS14/'4.1 Comptes 2023 natures'!AS3</f>
        <v>6.8791509433962261</v>
      </c>
      <c r="AT14" s="13">
        <f>'4.1 Comptes 2023 natures'!AT14/'4.1 Comptes 2023 natures'!AT3</f>
        <v>6.6655095541401268</v>
      </c>
      <c r="AU14" s="13">
        <f>'4.1 Comptes 2023 natures'!AU14/'4.1 Comptes 2023 natures'!AU3</f>
        <v>3.2101712189156135</v>
      </c>
      <c r="AV14" s="13">
        <f>'4.1 Comptes 2023 natures'!AV14/'4.1 Comptes 2023 natures'!AV3</f>
        <v>16.243604651162791</v>
      </c>
      <c r="AW14" s="13">
        <f>'4.1 Comptes 2023 natures'!AW14/'4.1 Comptes 2023 natures'!AW3</f>
        <v>3.541046831955923</v>
      </c>
      <c r="AX14" s="13">
        <f>'4.1 Comptes 2023 natures'!AX14/'4.1 Comptes 2023 natures'!AX3</f>
        <v>3.8109939759036147</v>
      </c>
      <c r="AY14" s="13">
        <f>'4.1 Comptes 2023 natures'!AY14/'4.1 Comptes 2023 natures'!AY3</f>
        <v>4.357322404371585</v>
      </c>
      <c r="AZ14" s="13">
        <f>'4.1 Comptes 2023 natures'!AZ14/'4.1 Comptes 2023 natures'!AZ3</f>
        <v>13.502099737532809</v>
      </c>
      <c r="BA14" s="13">
        <f>'4.1 Comptes 2023 natures'!BA14/'4.1 Comptes 2023 natures'!BA3</f>
        <v>11.018874172185431</v>
      </c>
      <c r="BB14" s="13">
        <f>'4.1 Comptes 2023 natures'!BB14/'4.1 Comptes 2023 natures'!BB3</f>
        <v>8.4112179972731393</v>
      </c>
      <c r="BC14" s="13">
        <f>'4.1 Comptes 2023 natures'!BC14/'4.1 Comptes 2023 natures'!BC3</f>
        <v>0</v>
      </c>
      <c r="BD14" s="13">
        <f>'4.1 Comptes 2023 natures'!BD14/'4.1 Comptes 2023 natures'!BD3</f>
        <v>9.8911842034662225</v>
      </c>
      <c r="BE14" s="13">
        <f>'4.1 Comptes 2023 natures'!BE14/'4.1 Comptes 2023 natures'!BE3</f>
        <v>11.081206001008574</v>
      </c>
      <c r="BF14" s="13">
        <f>'4.1 Comptes 2023 natures'!BF14/'4.1 Comptes 2023 natures'!BF3</f>
        <v>11.170036083942646</v>
      </c>
      <c r="BG14" s="13">
        <f>'4.1 Comptes 2023 natures'!BG14/'4.1 Comptes 2023 natures'!BG3</f>
        <v>7.400571498953072</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621.6181581685745</v>
      </c>
      <c r="F16" s="76">
        <f t="shared" ref="F16:BG16" si="2">F17+F18+F19+F20+F21+F22+F23+F24+F25+F26</f>
        <v>773.19149425287344</v>
      </c>
      <c r="G16" s="76">
        <f t="shared" si="2"/>
        <v>348.00315789473677</v>
      </c>
      <c r="H16" s="76">
        <f t="shared" si="2"/>
        <v>1208.4399999999996</v>
      </c>
      <c r="I16" s="76">
        <f t="shared" si="2"/>
        <v>1154.037717480229</v>
      </c>
      <c r="J16" s="76">
        <f t="shared" si="2"/>
        <v>935.17695229681976</v>
      </c>
      <c r="K16" s="76">
        <f t="shared" si="2"/>
        <v>677.81281571218801</v>
      </c>
      <c r="L16" s="76">
        <f t="shared" si="2"/>
        <v>2961.4833479864983</v>
      </c>
      <c r="M16" s="76">
        <f t="shared" si="2"/>
        <v>1809.2430320699709</v>
      </c>
      <c r="N16" s="76">
        <f t="shared" si="2"/>
        <v>1249.0373504273502</v>
      </c>
      <c r="O16" s="76">
        <f t="shared" si="2"/>
        <v>635.16650638413478</v>
      </c>
      <c r="P16" s="76">
        <f t="shared" si="2"/>
        <v>665.17472897196274</v>
      </c>
      <c r="Q16" s="76">
        <f t="shared" si="2"/>
        <v>563.26160714285709</v>
      </c>
      <c r="R16" s="76">
        <f t="shared" si="2"/>
        <v>638.45328571428581</v>
      </c>
      <c r="S16" s="76">
        <f t="shared" si="2"/>
        <v>945.91848137535828</v>
      </c>
      <c r="T16" s="76">
        <f t="shared" si="2"/>
        <v>1347.4596589358796</v>
      </c>
      <c r="U16" s="76">
        <f t="shared" si="2"/>
        <v>832.27739926739946</v>
      </c>
      <c r="V16" s="76">
        <f t="shared" si="2"/>
        <v>1187.6909280742459</v>
      </c>
      <c r="W16" s="76">
        <f t="shared" si="2"/>
        <v>594.82560721933305</v>
      </c>
      <c r="X16" s="76">
        <f t="shared" si="2"/>
        <v>1475.9104262295082</v>
      </c>
      <c r="Y16" s="76">
        <f t="shared" si="2"/>
        <v>1056.3651118210862</v>
      </c>
      <c r="Z16" s="76">
        <f t="shared" si="2"/>
        <v>1575.8127588306943</v>
      </c>
      <c r="AA16" s="76">
        <f t="shared" si="2"/>
        <v>1355.0698657718121</v>
      </c>
      <c r="AB16" s="76">
        <f t="shared" si="2"/>
        <v>1337.6726666666668</v>
      </c>
      <c r="AC16" s="76">
        <f t="shared" si="2"/>
        <v>1240.5075633802815</v>
      </c>
      <c r="AD16" s="76">
        <f t="shared" si="2"/>
        <v>1139.5880742049471</v>
      </c>
      <c r="AE16" s="76">
        <f t="shared" si="2"/>
        <v>2368.3038188976384</v>
      </c>
      <c r="AF16" s="76">
        <f t="shared" si="2"/>
        <v>1149.4341389882472</v>
      </c>
      <c r="AG16" s="76">
        <f t="shared" si="2"/>
        <v>1111.0408839563863</v>
      </c>
      <c r="AH16" s="76">
        <f t="shared" si="2"/>
        <v>1356.3765271966529</v>
      </c>
      <c r="AI16" s="76">
        <f t="shared" si="2"/>
        <v>1047.55528</v>
      </c>
      <c r="AJ16" s="76">
        <f t="shared" si="2"/>
        <v>614.28384373361303</v>
      </c>
      <c r="AK16" s="76">
        <f t="shared" si="2"/>
        <v>1101.9534744268078</v>
      </c>
      <c r="AL16" s="76">
        <f t="shared" si="2"/>
        <v>1012.8264505403159</v>
      </c>
      <c r="AM16" s="76">
        <f t="shared" si="2"/>
        <v>1978.2803571428569</v>
      </c>
      <c r="AN16" s="76">
        <f t="shared" si="2"/>
        <v>1425.5530572160544</v>
      </c>
      <c r="AO16" s="76">
        <f t="shared" si="2"/>
        <v>1096.8009618320611</v>
      </c>
      <c r="AP16" s="76">
        <f t="shared" si="2"/>
        <v>743.2493185419969</v>
      </c>
      <c r="AQ16" s="76">
        <f t="shared" si="2"/>
        <v>1267.0619860896443</v>
      </c>
      <c r="AR16" s="76">
        <f t="shared" si="2"/>
        <v>901.13194174757257</v>
      </c>
      <c r="AS16" s="76">
        <f t="shared" si="2"/>
        <v>932.18990566037735</v>
      </c>
      <c r="AT16" s="76">
        <f t="shared" si="2"/>
        <v>261.03831210191066</v>
      </c>
      <c r="AU16" s="76">
        <f t="shared" si="2"/>
        <v>659.32651854871597</v>
      </c>
      <c r="AV16" s="76">
        <f t="shared" si="2"/>
        <v>648.47671834625339</v>
      </c>
      <c r="AW16" s="76">
        <f t="shared" si="2"/>
        <v>842.51490358126728</v>
      </c>
      <c r="AX16" s="76">
        <f t="shared" si="2"/>
        <v>1138.866295180723</v>
      </c>
      <c r="AY16" s="76">
        <f t="shared" si="2"/>
        <v>753.72785063752269</v>
      </c>
      <c r="AZ16" s="76">
        <f t="shared" si="2"/>
        <v>1294.4725984251968</v>
      </c>
      <c r="BA16" s="76">
        <f t="shared" si="2"/>
        <v>991.14031220435197</v>
      </c>
      <c r="BB16" s="76">
        <f t="shared" si="2"/>
        <v>1016.5557612482958</v>
      </c>
      <c r="BC16" s="76">
        <f t="shared" si="2"/>
        <v>895.86084095063984</v>
      </c>
      <c r="BD16" s="76">
        <f t="shared" si="2"/>
        <v>1299.5126313247838</v>
      </c>
      <c r="BE16" s="76">
        <f t="shared" si="2"/>
        <v>1525.0198388804843</v>
      </c>
      <c r="BF16" s="76">
        <f t="shared" si="2"/>
        <v>1284.8641515525592</v>
      </c>
      <c r="BG16" s="76">
        <f t="shared" si="2"/>
        <v>938.6573243831341</v>
      </c>
    </row>
    <row r="17" spans="2:59" x14ac:dyDescent="0.2">
      <c r="C17" s="8">
        <v>310</v>
      </c>
      <c r="D17" s="8" t="s">
        <v>85</v>
      </c>
      <c r="E17" s="13">
        <f>'4.1 Comptes 2023 natures'!E17/'4.1 Comptes 2023 natures'!E3</f>
        <v>62.811207075962535</v>
      </c>
      <c r="F17" s="13">
        <f>'4.1 Comptes 2023 natures'!F17/'4.1 Comptes 2023 natures'!F3</f>
        <v>43.704597701149424</v>
      </c>
      <c r="G17" s="13">
        <f>'4.1 Comptes 2023 natures'!G17/'4.1 Comptes 2023 natures'!G3</f>
        <v>25.931072874493928</v>
      </c>
      <c r="H17" s="13">
        <f>'4.1 Comptes 2023 natures'!H17/'4.1 Comptes 2023 natures'!H3</f>
        <v>80.392988764044944</v>
      </c>
      <c r="I17" s="13">
        <f>'4.1 Comptes 2023 natures'!I17/'4.1 Comptes 2023 natures'!I3</f>
        <v>108.76305154076901</v>
      </c>
      <c r="J17" s="13">
        <f>'4.1 Comptes 2023 natures'!J17/'4.1 Comptes 2023 natures'!J3</f>
        <v>80.971781507656061</v>
      </c>
      <c r="K17" s="13">
        <f>'4.1 Comptes 2023 natures'!K17/'4.1 Comptes 2023 natures'!K3</f>
        <v>74.017015418502211</v>
      </c>
      <c r="L17" s="13">
        <f>'4.1 Comptes 2023 natures'!L17/'4.1 Comptes 2023 natures'!L3</f>
        <v>155.05356542899759</v>
      </c>
      <c r="M17" s="13">
        <f>'4.1 Comptes 2023 natures'!M17/'4.1 Comptes 2023 natures'!M3</f>
        <v>136.43539358600583</v>
      </c>
      <c r="N17" s="13">
        <f>'4.1 Comptes 2023 natures'!N17/'4.1 Comptes 2023 natures'!N3</f>
        <v>36.193162393162396</v>
      </c>
      <c r="O17" s="13">
        <f>'4.1 Comptes 2023 natures'!O17/'4.1 Comptes 2023 natures'!O3</f>
        <v>87.180548763922843</v>
      </c>
      <c r="P17" s="13">
        <f>'4.1 Comptes 2023 natures'!P17/'4.1 Comptes 2023 natures'!P3</f>
        <v>116.38469158878505</v>
      </c>
      <c r="Q17" s="13">
        <f>'4.1 Comptes 2023 natures'!Q17/'4.1 Comptes 2023 natures'!Q3</f>
        <v>31.646517857142857</v>
      </c>
      <c r="R17" s="13">
        <f>'4.1 Comptes 2023 natures'!R17/'4.1 Comptes 2023 natures'!R3</f>
        <v>78.635357142857146</v>
      </c>
      <c r="S17" s="13">
        <f>'4.1 Comptes 2023 natures'!S17/'4.1 Comptes 2023 natures'!S3</f>
        <v>54.512750716332377</v>
      </c>
      <c r="T17" s="13">
        <f>'4.1 Comptes 2023 natures'!T17/'4.1 Comptes 2023 natures'!T3</f>
        <v>86.359358799454299</v>
      </c>
      <c r="U17" s="13">
        <f>'4.1 Comptes 2023 natures'!U17/'4.1 Comptes 2023 natures'!U3</f>
        <v>68.513186813186806</v>
      </c>
      <c r="V17" s="13">
        <f>'4.1 Comptes 2023 natures'!V17/'4.1 Comptes 2023 natures'!V3</f>
        <v>139.31320185614848</v>
      </c>
      <c r="W17" s="13">
        <f>'4.1 Comptes 2023 natures'!W17/'4.1 Comptes 2023 natures'!W3</f>
        <v>76.272370755582742</v>
      </c>
      <c r="X17" s="13">
        <f>'4.1 Comptes 2023 natures'!X17/'4.1 Comptes 2023 natures'!X3</f>
        <v>288.95980327868853</v>
      </c>
      <c r="Y17" s="13">
        <f>'4.1 Comptes 2023 natures'!Y17/'4.1 Comptes 2023 natures'!Y3</f>
        <v>115.33722044728435</v>
      </c>
      <c r="Z17" s="13">
        <f>'4.1 Comptes 2023 natures'!Z17/'4.1 Comptes 2023 natures'!Z3</f>
        <v>162.60520706455543</v>
      </c>
      <c r="AA17" s="13">
        <f>'4.1 Comptes 2023 natures'!AA17/'4.1 Comptes 2023 natures'!AA3</f>
        <v>214.65402684563759</v>
      </c>
      <c r="AB17" s="13">
        <f>'4.1 Comptes 2023 natures'!AB17/'4.1 Comptes 2023 natures'!AB3</f>
        <v>173.47039215686274</v>
      </c>
      <c r="AC17" s="13">
        <f>'4.1 Comptes 2023 natures'!AC17/'4.1 Comptes 2023 natures'!AC3</f>
        <v>101.11774647887324</v>
      </c>
      <c r="AD17" s="13">
        <f>'4.1 Comptes 2023 natures'!AD17/'4.1 Comptes 2023 natures'!AD3</f>
        <v>116.44551236749118</v>
      </c>
      <c r="AE17" s="13">
        <f>'4.1 Comptes 2023 natures'!AE17/'4.1 Comptes 2023 natures'!AE3</f>
        <v>217.91102362204725</v>
      </c>
      <c r="AF17" s="13">
        <f>'4.1 Comptes 2023 natures'!AF17/'4.1 Comptes 2023 natures'!AF3</f>
        <v>138.12171691364333</v>
      </c>
      <c r="AG17" s="13">
        <f>'4.1 Comptes 2023 natures'!AG17/'4.1 Comptes 2023 natures'!AG3</f>
        <v>163.31040498442368</v>
      </c>
      <c r="AH17" s="13">
        <f>'4.1 Comptes 2023 natures'!AH17/'4.1 Comptes 2023 natures'!AH3</f>
        <v>72.566150627615073</v>
      </c>
      <c r="AI17" s="13">
        <f>'4.1 Comptes 2023 natures'!AI17/'4.1 Comptes 2023 natures'!AI3</f>
        <v>114.854</v>
      </c>
      <c r="AJ17" s="13">
        <f>'4.1 Comptes 2023 natures'!AJ17/'4.1 Comptes 2023 natures'!AJ3</f>
        <v>133.81224436287363</v>
      </c>
      <c r="AK17" s="13">
        <f>'4.1 Comptes 2023 natures'!AK17/'4.1 Comptes 2023 natures'!AK3</f>
        <v>81.626269841269846</v>
      </c>
      <c r="AL17" s="13">
        <f>'4.1 Comptes 2023 natures'!AL17/'4.1 Comptes 2023 natures'!AL3</f>
        <v>59.221737323358269</v>
      </c>
      <c r="AM17" s="13">
        <f>'4.1 Comptes 2023 natures'!AM17/'4.1 Comptes 2023 natures'!AM3</f>
        <v>143.87294642857142</v>
      </c>
      <c r="AN17" s="13">
        <f>'4.1 Comptes 2023 natures'!AN17/'4.1 Comptes 2023 natures'!AN3</f>
        <v>126.75556789069171</v>
      </c>
      <c r="AO17" s="13">
        <f>'4.1 Comptes 2023 natures'!AO17/'4.1 Comptes 2023 natures'!AO3</f>
        <v>168.12305343511451</v>
      </c>
      <c r="AP17" s="13">
        <f>'4.1 Comptes 2023 natures'!AP17/'4.1 Comptes 2023 natures'!AP3</f>
        <v>26.139619651347065</v>
      </c>
      <c r="AQ17" s="13">
        <f>'4.1 Comptes 2023 natures'!AQ17/'4.1 Comptes 2023 natures'!AQ3</f>
        <v>98.236205564142196</v>
      </c>
      <c r="AR17" s="13">
        <f>'4.1 Comptes 2023 natures'!AR17/'4.1 Comptes 2023 natures'!AR3</f>
        <v>106.0243411927878</v>
      </c>
      <c r="AS17" s="13">
        <f>'4.1 Comptes 2023 natures'!AS17/'4.1 Comptes 2023 natures'!AS3</f>
        <v>110.53409433962264</v>
      </c>
      <c r="AT17" s="13">
        <f>'4.1 Comptes 2023 natures'!AT17/'4.1 Comptes 2023 natures'!AT3</f>
        <v>149.66859872611465</v>
      </c>
      <c r="AU17" s="13">
        <f>'4.1 Comptes 2023 natures'!AU17/'4.1 Comptes 2023 natures'!AU3</f>
        <v>108.27890338361192</v>
      </c>
      <c r="AV17" s="13">
        <f>'4.1 Comptes 2023 natures'!AV17/'4.1 Comptes 2023 natures'!AV3</f>
        <v>37.639702842377261</v>
      </c>
      <c r="AW17" s="13">
        <f>'4.1 Comptes 2023 natures'!AW17/'4.1 Comptes 2023 natures'!AW3</f>
        <v>99.733526170798896</v>
      </c>
      <c r="AX17" s="13">
        <f>'4.1 Comptes 2023 natures'!AX17/'4.1 Comptes 2023 natures'!AX3</f>
        <v>80.680030120481931</v>
      </c>
      <c r="AY17" s="13">
        <f>'4.1 Comptes 2023 natures'!AY17/'4.1 Comptes 2023 natures'!AY3</f>
        <v>43.478415300546445</v>
      </c>
      <c r="AZ17" s="13">
        <f>'4.1 Comptes 2023 natures'!AZ17/'4.1 Comptes 2023 natures'!AZ3</f>
        <v>50.896062992125991</v>
      </c>
      <c r="BA17" s="13">
        <f>'4.1 Comptes 2023 natures'!BA17/'4.1 Comptes 2023 natures'!BA3</f>
        <v>103.07869441816462</v>
      </c>
      <c r="BB17" s="13">
        <f>'4.1 Comptes 2023 natures'!BB17/'4.1 Comptes 2023 natures'!BB3</f>
        <v>125.59057567035298</v>
      </c>
      <c r="BC17" s="13">
        <f>'4.1 Comptes 2023 natures'!BC17/'4.1 Comptes 2023 natures'!BC3</f>
        <v>120.74725776965265</v>
      </c>
      <c r="BD17" s="13">
        <f>'4.1 Comptes 2023 natures'!BD17/'4.1 Comptes 2023 natures'!BD3</f>
        <v>113.13395047486183</v>
      </c>
      <c r="BE17" s="13">
        <f>'4.1 Comptes 2023 natures'!BE17/'4.1 Comptes 2023 natures'!BE3</f>
        <v>108.76223802319721</v>
      </c>
      <c r="BF17" s="13">
        <f>'4.1 Comptes 2023 natures'!BF17/'4.1 Comptes 2023 natures'!BF3</f>
        <v>150.96116038362928</v>
      </c>
      <c r="BG17" s="13">
        <f>'4.1 Comptes 2023 natures'!BG17/'4.1 Comptes 2023 natures'!BG3</f>
        <v>103.89733546824321</v>
      </c>
    </row>
    <row r="18" spans="2:59" x14ac:dyDescent="0.2">
      <c r="C18" s="8">
        <v>311</v>
      </c>
      <c r="D18" s="8" t="s">
        <v>86</v>
      </c>
      <c r="E18" s="13">
        <f>'4.1 Comptes 2023 natures'!E18/'4.1 Comptes 2023 natures'!E3</f>
        <v>46.217325702393339</v>
      </c>
      <c r="F18" s="13">
        <f>'4.1 Comptes 2023 natures'!F18/'4.1 Comptes 2023 natures'!F3</f>
        <v>6.9869731800766282</v>
      </c>
      <c r="G18" s="13">
        <f>'4.1 Comptes 2023 natures'!G18/'4.1 Comptes 2023 natures'!G3</f>
        <v>9.6155465587044535</v>
      </c>
      <c r="H18" s="13">
        <f>'4.1 Comptes 2023 natures'!H18/'4.1 Comptes 2023 natures'!H3</f>
        <v>12.013370786516854</v>
      </c>
      <c r="I18" s="13">
        <f>'4.1 Comptes 2023 natures'!I18/'4.1 Comptes 2023 natures'!I3</f>
        <v>14.784982274338697</v>
      </c>
      <c r="J18" s="13">
        <f>'4.1 Comptes 2023 natures'!J18/'4.1 Comptes 2023 natures'!J3</f>
        <v>14.858159599528857</v>
      </c>
      <c r="K18" s="13">
        <f>'4.1 Comptes 2023 natures'!K18/'4.1 Comptes 2023 natures'!K3</f>
        <v>9.6366116005873721</v>
      </c>
      <c r="L18" s="13">
        <f>'4.1 Comptes 2023 natures'!L18/'4.1 Comptes 2023 natures'!L3</f>
        <v>33.63940890179763</v>
      </c>
      <c r="M18" s="13">
        <f>'4.1 Comptes 2023 natures'!M18/'4.1 Comptes 2023 natures'!M3</f>
        <v>83.823505830903798</v>
      </c>
      <c r="N18" s="13">
        <f>'4.1 Comptes 2023 natures'!N18/'4.1 Comptes 2023 natures'!N3</f>
        <v>438.96752136752133</v>
      </c>
      <c r="O18" s="13">
        <f>'4.1 Comptes 2023 natures'!O18/'4.1 Comptes 2023 natures'!O3</f>
        <v>18.097799511002446</v>
      </c>
      <c r="P18" s="13">
        <f>'4.1 Comptes 2023 natures'!P18/'4.1 Comptes 2023 natures'!P3</f>
        <v>61.71457943925234</v>
      </c>
      <c r="Q18" s="13">
        <f>'4.1 Comptes 2023 natures'!Q18/'4.1 Comptes 2023 natures'!Q3</f>
        <v>24.294642857142858</v>
      </c>
      <c r="R18" s="13">
        <f>'4.1 Comptes 2023 natures'!R18/'4.1 Comptes 2023 natures'!R3</f>
        <v>36.024142857142856</v>
      </c>
      <c r="S18" s="13">
        <f>'4.1 Comptes 2023 natures'!S18/'4.1 Comptes 2023 natures'!S3</f>
        <v>44.356446991404013</v>
      </c>
      <c r="T18" s="13">
        <f>'4.1 Comptes 2023 natures'!T18/'4.1 Comptes 2023 natures'!T3</f>
        <v>100.02203274215552</v>
      </c>
      <c r="U18" s="13">
        <f>'4.1 Comptes 2023 natures'!U18/'4.1 Comptes 2023 natures'!U3</f>
        <v>13.356007326007326</v>
      </c>
      <c r="V18" s="13">
        <f>'4.1 Comptes 2023 natures'!V18/'4.1 Comptes 2023 natures'!V3</f>
        <v>37.412993039443158</v>
      </c>
      <c r="W18" s="13">
        <f>'4.1 Comptes 2023 natures'!W18/'4.1 Comptes 2023 natures'!W3</f>
        <v>22.039091465279899</v>
      </c>
      <c r="X18" s="13">
        <f>'4.1 Comptes 2023 natures'!X18/'4.1 Comptes 2023 natures'!X3</f>
        <v>21.439999999999998</v>
      </c>
      <c r="Y18" s="13">
        <f>'4.1 Comptes 2023 natures'!Y18/'4.1 Comptes 2023 natures'!Y3</f>
        <v>28.413051118210863</v>
      </c>
      <c r="Z18" s="13">
        <f>'4.1 Comptes 2023 natures'!Z18/'4.1 Comptes 2023 natures'!Z3</f>
        <v>63.952965895249697</v>
      </c>
      <c r="AA18" s="13">
        <f>'4.1 Comptes 2023 natures'!AA18/'4.1 Comptes 2023 natures'!AA3</f>
        <v>0</v>
      </c>
      <c r="AB18" s="13">
        <f>'4.1 Comptes 2023 natures'!AB18/'4.1 Comptes 2023 natures'!AB3</f>
        <v>31.395882352941175</v>
      </c>
      <c r="AC18" s="13">
        <f>'4.1 Comptes 2023 natures'!AC18/'4.1 Comptes 2023 natures'!AC3</f>
        <v>68.777943661971833</v>
      </c>
      <c r="AD18" s="13">
        <f>'4.1 Comptes 2023 natures'!AD18/'4.1 Comptes 2023 natures'!AD3</f>
        <v>31.822173144876324</v>
      </c>
      <c r="AE18" s="13">
        <f>'4.1 Comptes 2023 natures'!AE18/'4.1 Comptes 2023 natures'!AE3</f>
        <v>84.182578740157481</v>
      </c>
      <c r="AF18" s="13">
        <f>'4.1 Comptes 2023 natures'!AF18/'4.1 Comptes 2023 natures'!AF3</f>
        <v>41.226387327542156</v>
      </c>
      <c r="AG18" s="13">
        <f>'4.1 Comptes 2023 natures'!AG18/'4.1 Comptes 2023 natures'!AG3</f>
        <v>5.0887071651090343</v>
      </c>
      <c r="AH18" s="13">
        <f>'4.1 Comptes 2023 natures'!AH18/'4.1 Comptes 2023 natures'!AH3</f>
        <v>29.288702928870293</v>
      </c>
      <c r="AI18" s="13">
        <f>'4.1 Comptes 2023 natures'!AI18/'4.1 Comptes 2023 natures'!AI3</f>
        <v>6.42</v>
      </c>
      <c r="AJ18" s="13">
        <f>'4.1 Comptes 2023 natures'!AJ18/'4.1 Comptes 2023 natures'!AJ3</f>
        <v>48.696030414263241</v>
      </c>
      <c r="AK18" s="13">
        <f>'4.1 Comptes 2023 natures'!AK18/'4.1 Comptes 2023 natures'!AK3</f>
        <v>5.9742945326278667</v>
      </c>
      <c r="AL18" s="13">
        <f>'4.1 Comptes 2023 natures'!AL18/'4.1 Comptes 2023 natures'!AL3</f>
        <v>34.008478802992514</v>
      </c>
      <c r="AM18" s="13">
        <f>'4.1 Comptes 2023 natures'!AM18/'4.1 Comptes 2023 natures'!AM3</f>
        <v>117.81339285714286</v>
      </c>
      <c r="AN18" s="13">
        <f>'4.1 Comptes 2023 natures'!AN18/'4.1 Comptes 2023 natures'!AN3</f>
        <v>14.283262169086251</v>
      </c>
      <c r="AO18" s="13">
        <f>'4.1 Comptes 2023 natures'!AO18/'4.1 Comptes 2023 natures'!AO3</f>
        <v>46.312167938931303</v>
      </c>
      <c r="AP18" s="13">
        <f>'4.1 Comptes 2023 natures'!AP18/'4.1 Comptes 2023 natures'!AP3</f>
        <v>30.954992076069729</v>
      </c>
      <c r="AQ18" s="13">
        <f>'4.1 Comptes 2023 natures'!AQ18/'4.1 Comptes 2023 natures'!AQ3</f>
        <v>34.805734157650697</v>
      </c>
      <c r="AR18" s="13">
        <f>'4.1 Comptes 2023 natures'!AR18/'4.1 Comptes 2023 natures'!AR3</f>
        <v>26.246879334257976</v>
      </c>
      <c r="AS18" s="13">
        <f>'4.1 Comptes 2023 natures'!AS18/'4.1 Comptes 2023 natures'!AS3</f>
        <v>73.299490566037747</v>
      </c>
      <c r="AT18" s="13">
        <f>'4.1 Comptes 2023 natures'!AT18/'4.1 Comptes 2023 natures'!AT3</f>
        <v>39.77277070063694</v>
      </c>
      <c r="AU18" s="13">
        <f>'4.1 Comptes 2023 natures'!AU18/'4.1 Comptes 2023 natures'!AU3</f>
        <v>37.247044435385241</v>
      </c>
      <c r="AV18" s="13">
        <f>'4.1 Comptes 2023 natures'!AV18/'4.1 Comptes 2023 natures'!AV3</f>
        <v>8.2591343669250641</v>
      </c>
      <c r="AW18" s="13">
        <f>'4.1 Comptes 2023 natures'!AW18/'4.1 Comptes 2023 natures'!AW3</f>
        <v>40.11694214876033</v>
      </c>
      <c r="AX18" s="13">
        <f>'4.1 Comptes 2023 natures'!AX18/'4.1 Comptes 2023 natures'!AX3</f>
        <v>13.827409638554217</v>
      </c>
      <c r="AY18" s="13">
        <f>'4.1 Comptes 2023 natures'!AY18/'4.1 Comptes 2023 natures'!AY3</f>
        <v>28.159502125075893</v>
      </c>
      <c r="AZ18" s="13">
        <f>'4.1 Comptes 2023 natures'!AZ18/'4.1 Comptes 2023 natures'!AZ3</f>
        <v>46.239370078740158</v>
      </c>
      <c r="BA18" s="13">
        <f>'4.1 Comptes 2023 natures'!BA18/'4.1 Comptes 2023 natures'!BA3</f>
        <v>47.869640491958371</v>
      </c>
      <c r="BB18" s="13">
        <f>'4.1 Comptes 2023 natures'!BB18/'4.1 Comptes 2023 natures'!BB3</f>
        <v>25.868571428571428</v>
      </c>
      <c r="BC18" s="13">
        <f>'4.1 Comptes 2023 natures'!BC18/'4.1 Comptes 2023 natures'!BC3</f>
        <v>65.756398537477153</v>
      </c>
      <c r="BD18" s="13">
        <f>'4.1 Comptes 2023 natures'!BD18/'4.1 Comptes 2023 natures'!BD3</f>
        <v>31.307207302677469</v>
      </c>
      <c r="BE18" s="13">
        <f>'4.1 Comptes 2023 natures'!BE18/'4.1 Comptes 2023 natures'!BE3</f>
        <v>28.91767271810388</v>
      </c>
      <c r="BF18" s="13">
        <f>'4.1 Comptes 2023 natures'!BF18/'4.1 Comptes 2023 natures'!BF3</f>
        <v>35.542093818250869</v>
      </c>
      <c r="BG18" s="13">
        <f>'4.1 Comptes 2023 natures'!BG18/'4.1 Comptes 2023 natures'!BG3</f>
        <v>33.367040275896045</v>
      </c>
    </row>
    <row r="19" spans="2:59" x14ac:dyDescent="0.2">
      <c r="C19" s="8">
        <v>312</v>
      </c>
      <c r="D19" s="8" t="s">
        <v>87</v>
      </c>
      <c r="E19" s="13">
        <f>'4.1 Comptes 2023 natures'!E19/'4.1 Comptes 2023 natures'!E3</f>
        <v>94.173517169614982</v>
      </c>
      <c r="F19" s="13">
        <f>'4.1 Comptes 2023 natures'!F19/'4.1 Comptes 2023 natures'!F3</f>
        <v>183.80739463601535</v>
      </c>
      <c r="G19" s="13">
        <f>'4.1 Comptes 2023 natures'!G19/'4.1 Comptes 2023 natures'!G3</f>
        <v>38.368117408906876</v>
      </c>
      <c r="H19" s="13">
        <f>'4.1 Comptes 2023 natures'!H19/'4.1 Comptes 2023 natures'!H3</f>
        <v>450.56337078651688</v>
      </c>
      <c r="I19" s="13">
        <f>'4.1 Comptes 2023 natures'!I19/'4.1 Comptes 2023 natures'!I3</f>
        <v>537.08702754295064</v>
      </c>
      <c r="J19" s="13">
        <f>'4.1 Comptes 2023 natures'!J19/'4.1 Comptes 2023 natures'!J3</f>
        <v>486.97479976442872</v>
      </c>
      <c r="K19" s="13">
        <f>'4.1 Comptes 2023 natures'!K19/'4.1 Comptes 2023 natures'!K3</f>
        <v>159.59430616740087</v>
      </c>
      <c r="L19" s="13">
        <f>'4.1 Comptes 2023 natures'!L19/'4.1 Comptes 2023 natures'!L3</f>
        <v>2222.2290595808149</v>
      </c>
      <c r="M19" s="13">
        <f>'4.1 Comptes 2023 natures'!M19/'4.1 Comptes 2023 natures'!M3</f>
        <v>1102.5799198250729</v>
      </c>
      <c r="N19" s="13">
        <f>'4.1 Comptes 2023 natures'!N19/'4.1 Comptes 2023 natures'!N3</f>
        <v>94.681196581196588</v>
      </c>
      <c r="O19" s="13">
        <f>'4.1 Comptes 2023 natures'!O19/'4.1 Comptes 2023 natures'!O3</f>
        <v>129.10006791632708</v>
      </c>
      <c r="P19" s="13">
        <f>'4.1 Comptes 2023 natures'!P19/'4.1 Comptes 2023 natures'!P3</f>
        <v>79.584953271028027</v>
      </c>
      <c r="Q19" s="13">
        <f>'4.1 Comptes 2023 natures'!Q19/'4.1 Comptes 2023 natures'!Q3</f>
        <v>67.205803571428575</v>
      </c>
      <c r="R19" s="13">
        <f>'4.1 Comptes 2023 natures'!R19/'4.1 Comptes 2023 natures'!R3</f>
        <v>86.826952380952378</v>
      </c>
      <c r="S19" s="13">
        <f>'4.1 Comptes 2023 natures'!S19/'4.1 Comptes 2023 natures'!S3</f>
        <v>212.26189111747848</v>
      </c>
      <c r="T19" s="13">
        <f>'4.1 Comptes 2023 natures'!T19/'4.1 Comptes 2023 natures'!T3</f>
        <v>487.98956343792628</v>
      </c>
      <c r="U19" s="13">
        <f>'4.1 Comptes 2023 natures'!U19/'4.1 Comptes 2023 natures'!U3</f>
        <v>242.96190476190478</v>
      </c>
      <c r="V19" s="13">
        <f>'4.1 Comptes 2023 natures'!V19/'4.1 Comptes 2023 natures'!V3</f>
        <v>125.99153132250579</v>
      </c>
      <c r="W19" s="13">
        <f>'4.1 Comptes 2023 natures'!W19/'4.1 Comptes 2023 natures'!W3</f>
        <v>55.907950443560722</v>
      </c>
      <c r="X19" s="13">
        <f>'4.1 Comptes 2023 natures'!X19/'4.1 Comptes 2023 natures'!X3</f>
        <v>452.19672131147541</v>
      </c>
      <c r="Y19" s="13">
        <f>'4.1 Comptes 2023 natures'!Y19/'4.1 Comptes 2023 natures'!Y3</f>
        <v>210.0965654952077</v>
      </c>
      <c r="Z19" s="13">
        <f>'4.1 Comptes 2023 natures'!Z19/'4.1 Comptes 2023 natures'!Z3</f>
        <v>268.83985992691839</v>
      </c>
      <c r="AA19" s="13">
        <f>'4.1 Comptes 2023 natures'!AA19/'4.1 Comptes 2023 natures'!AA3</f>
        <v>259.01006711409394</v>
      </c>
      <c r="AB19" s="13">
        <f>'4.1 Comptes 2023 natures'!AB19/'4.1 Comptes 2023 natures'!AB3</f>
        <v>264.19617647058823</v>
      </c>
      <c r="AC19" s="13">
        <f>'4.1 Comptes 2023 natures'!AC19/'4.1 Comptes 2023 natures'!AC3</f>
        <v>261.51571830985915</v>
      </c>
      <c r="AD19" s="13">
        <f>'4.1 Comptes 2023 natures'!AD19/'4.1 Comptes 2023 natures'!AD3</f>
        <v>369.15097173144881</v>
      </c>
      <c r="AE19" s="13">
        <f>'4.1 Comptes 2023 natures'!AE19/'4.1 Comptes 2023 natures'!AE3</f>
        <v>262.0093503937008</v>
      </c>
      <c r="AF19" s="13">
        <f>'4.1 Comptes 2023 natures'!AF19/'4.1 Comptes 2023 natures'!AF3</f>
        <v>198.85482881962187</v>
      </c>
      <c r="AG19" s="13">
        <f>'4.1 Comptes 2023 natures'!AG19/'4.1 Comptes 2023 natures'!AG3</f>
        <v>257.24293224299066</v>
      </c>
      <c r="AH19" s="13">
        <f>'4.1 Comptes 2023 natures'!AH19/'4.1 Comptes 2023 natures'!AH3</f>
        <v>404.83179916317994</v>
      </c>
      <c r="AI19" s="13">
        <f>'4.1 Comptes 2023 natures'!AI19/'4.1 Comptes 2023 natures'!AI3</f>
        <v>193.3364</v>
      </c>
      <c r="AJ19" s="13">
        <f>'4.1 Comptes 2023 natures'!AJ19/'4.1 Comptes 2023 natures'!AJ3</f>
        <v>53.301153644467753</v>
      </c>
      <c r="AK19" s="13">
        <f>'4.1 Comptes 2023 natures'!AK19/'4.1 Comptes 2023 natures'!AK3</f>
        <v>92.193342151675481</v>
      </c>
      <c r="AL19" s="13">
        <f>'4.1 Comptes 2023 natures'!AL19/'4.1 Comptes 2023 natures'!AL3</f>
        <v>217.07738985868662</v>
      </c>
      <c r="AM19" s="13">
        <f>'4.1 Comptes 2023 natures'!AM19/'4.1 Comptes 2023 natures'!AM3</f>
        <v>282.69866071428572</v>
      </c>
      <c r="AN19" s="13">
        <f>'4.1 Comptes 2023 natures'!AN19/'4.1 Comptes 2023 natures'!AN3</f>
        <v>279.96609735268999</v>
      </c>
      <c r="AO19" s="13">
        <f>'4.1 Comptes 2023 natures'!AO19/'4.1 Comptes 2023 natures'!AO3</f>
        <v>338.87297709923661</v>
      </c>
      <c r="AP19" s="13">
        <f>'4.1 Comptes 2023 natures'!AP19/'4.1 Comptes 2023 natures'!AP3</f>
        <v>156.3755942947702</v>
      </c>
      <c r="AQ19" s="13">
        <f>'4.1 Comptes 2023 natures'!AQ19/'4.1 Comptes 2023 natures'!AQ3</f>
        <v>124.33122102009274</v>
      </c>
      <c r="AR19" s="13">
        <f>'4.1 Comptes 2023 natures'!AR19/'4.1 Comptes 2023 natures'!AR3</f>
        <v>192.79708737864078</v>
      </c>
      <c r="AS19" s="13">
        <f>'4.1 Comptes 2023 natures'!AS19/'4.1 Comptes 2023 natures'!AS3</f>
        <v>149.62632075471697</v>
      </c>
      <c r="AT19" s="13">
        <f>'4.1 Comptes 2023 natures'!AT19/'4.1 Comptes 2023 natures'!AT3</f>
        <v>163.04777070063693</v>
      </c>
      <c r="AU19" s="13">
        <f>'4.1 Comptes 2023 natures'!AU19/'4.1 Comptes 2023 natures'!AU3</f>
        <v>138.09202201386057</v>
      </c>
      <c r="AV19" s="13">
        <f>'4.1 Comptes 2023 natures'!AV19/'4.1 Comptes 2023 natures'!AV3</f>
        <v>41.973578811369507</v>
      </c>
      <c r="AW19" s="13">
        <f>'4.1 Comptes 2023 natures'!AW19/'4.1 Comptes 2023 natures'!AW3</f>
        <v>248.98471074380166</v>
      </c>
      <c r="AX19" s="13">
        <f>'4.1 Comptes 2023 natures'!AX19/'4.1 Comptes 2023 natures'!AX3</f>
        <v>289.21400602409642</v>
      </c>
      <c r="AY19" s="13">
        <f>'4.1 Comptes 2023 natures'!AY19/'4.1 Comptes 2023 natures'!AY3</f>
        <v>160.62835458409231</v>
      </c>
      <c r="AZ19" s="13">
        <f>'4.1 Comptes 2023 natures'!AZ19/'4.1 Comptes 2023 natures'!AZ3</f>
        <v>168.62283464566929</v>
      </c>
      <c r="BA19" s="13">
        <f>'4.1 Comptes 2023 natures'!BA19/'4.1 Comptes 2023 natures'!BA3</f>
        <v>261.81747398297068</v>
      </c>
      <c r="BB19" s="13">
        <f>'4.1 Comptes 2023 natures'!BB19/'4.1 Comptes 2023 natures'!BB3</f>
        <v>104.70913649447054</v>
      </c>
      <c r="BC19" s="13">
        <f>'4.1 Comptes 2023 natures'!BC19/'4.1 Comptes 2023 natures'!BC3</f>
        <v>50.810968921389396</v>
      </c>
      <c r="BD19" s="13">
        <f>'4.1 Comptes 2023 natures'!BD19/'4.1 Comptes 2023 natures'!BD3</f>
        <v>567.07541369319074</v>
      </c>
      <c r="BE19" s="13">
        <f>'4.1 Comptes 2023 natures'!BE19/'4.1 Comptes 2023 natures'!BE3</f>
        <v>908.24252697932457</v>
      </c>
      <c r="BF19" s="13">
        <f>'4.1 Comptes 2023 natures'!BF19/'4.1 Comptes 2023 natures'!BF3</f>
        <v>257.72723008261318</v>
      </c>
      <c r="BG19" s="13">
        <f>'4.1 Comptes 2023 natures'!BG19/'4.1 Comptes 2023 natures'!BG3</f>
        <v>145.30992568871372</v>
      </c>
    </row>
    <row r="20" spans="2:59" x14ac:dyDescent="0.2">
      <c r="C20" s="8">
        <v>313</v>
      </c>
      <c r="D20" s="8" t="s">
        <v>88</v>
      </c>
      <c r="E20" s="13">
        <f>'4.1 Comptes 2023 natures'!E20/'4.1 Comptes 2023 natures'!E3</f>
        <v>174.47576482830385</v>
      </c>
      <c r="F20" s="13">
        <f>'4.1 Comptes 2023 natures'!F20/'4.1 Comptes 2023 natures'!F3</f>
        <v>339.30314176245207</v>
      </c>
      <c r="G20" s="13">
        <f>'4.1 Comptes 2023 natures'!G20/'4.1 Comptes 2023 natures'!G3</f>
        <v>192.9843927125506</v>
      </c>
      <c r="H20" s="13">
        <f>'4.1 Comptes 2023 natures'!H20/'4.1 Comptes 2023 natures'!H3</f>
        <v>280.32973033707862</v>
      </c>
      <c r="I20" s="13">
        <f>'4.1 Comptes 2023 natures'!I20/'4.1 Comptes 2023 natures'!I3</f>
        <v>215.87575947641125</v>
      </c>
      <c r="J20" s="13">
        <f>'4.1 Comptes 2023 natures'!J20/'4.1 Comptes 2023 natures'!J3</f>
        <v>208.03645759717315</v>
      </c>
      <c r="K20" s="13">
        <f>'4.1 Comptes 2023 natures'!K20/'4.1 Comptes 2023 natures'!K3</f>
        <v>148.74885462555065</v>
      </c>
      <c r="L20" s="13">
        <f>'4.1 Comptes 2023 natures'!L20/'4.1 Comptes 2023 natures'!L3</f>
        <v>275.43847397754928</v>
      </c>
      <c r="M20" s="13">
        <f>'4.1 Comptes 2023 natures'!M20/'4.1 Comptes 2023 natures'!M3</f>
        <v>179.79545189504373</v>
      </c>
      <c r="N20" s="13">
        <f>'4.1 Comptes 2023 natures'!N20/'4.1 Comptes 2023 natures'!N3</f>
        <v>344.68982905982904</v>
      </c>
      <c r="O20" s="13">
        <f>'4.1 Comptes 2023 natures'!O20/'4.1 Comptes 2023 natures'!O3</f>
        <v>195.73183238250476</v>
      </c>
      <c r="P20" s="13">
        <f>'4.1 Comptes 2023 natures'!P20/'4.1 Comptes 2023 natures'!P3</f>
        <v>129.85661682242988</v>
      </c>
      <c r="Q20" s="13">
        <f>'4.1 Comptes 2023 natures'!Q20/'4.1 Comptes 2023 natures'!Q3</f>
        <v>303.74330357142856</v>
      </c>
      <c r="R20" s="13">
        <f>'4.1 Comptes 2023 natures'!R20/'4.1 Comptes 2023 natures'!R3</f>
        <v>197.15292857142856</v>
      </c>
      <c r="S20" s="13">
        <f>'4.1 Comptes 2023 natures'!S20/'4.1 Comptes 2023 natures'!S3</f>
        <v>391.857335243553</v>
      </c>
      <c r="T20" s="13">
        <f>'4.1 Comptes 2023 natures'!T20/'4.1 Comptes 2023 natures'!T3</f>
        <v>246.48467939972713</v>
      </c>
      <c r="U20" s="13">
        <f>'4.1 Comptes 2023 natures'!U20/'4.1 Comptes 2023 natures'!U3</f>
        <v>293.53904761904761</v>
      </c>
      <c r="V20" s="13">
        <f>'4.1 Comptes 2023 natures'!V20/'4.1 Comptes 2023 natures'!V3</f>
        <v>595.64714617169375</v>
      </c>
      <c r="W20" s="13">
        <f>'4.1 Comptes 2023 natures'!W20/'4.1 Comptes 2023 natures'!W3</f>
        <v>193.07640256959314</v>
      </c>
      <c r="X20" s="13">
        <f>'4.1 Comptes 2023 natures'!X20/'4.1 Comptes 2023 natures'!X3</f>
        <v>408.18754098360654</v>
      </c>
      <c r="Y20" s="13">
        <f>'4.1 Comptes 2023 natures'!Y20/'4.1 Comptes 2023 natures'!Y3</f>
        <v>310.24851437699681</v>
      </c>
      <c r="Z20" s="13">
        <f>'4.1 Comptes 2023 natures'!Z20/'4.1 Comptes 2023 natures'!Z3</f>
        <v>683.72583434835565</v>
      </c>
      <c r="AA20" s="13">
        <f>'4.1 Comptes 2023 natures'!AA20/'4.1 Comptes 2023 natures'!AA3</f>
        <v>644.43053691275168</v>
      </c>
      <c r="AB20" s="13">
        <f>'4.1 Comptes 2023 natures'!AB20/'4.1 Comptes 2023 natures'!AB3</f>
        <v>592.43068627450987</v>
      </c>
      <c r="AC20" s="13">
        <f>'4.1 Comptes 2023 natures'!AC20/'4.1 Comptes 2023 natures'!AC3</f>
        <v>415.01435211267608</v>
      </c>
      <c r="AD20" s="13">
        <f>'4.1 Comptes 2023 natures'!AD20/'4.1 Comptes 2023 natures'!AD3</f>
        <v>419.60512367491168</v>
      </c>
      <c r="AE20" s="13">
        <f>'4.1 Comptes 2023 natures'!AE20/'4.1 Comptes 2023 natures'!AE3</f>
        <v>1051.3289566929134</v>
      </c>
      <c r="AF20" s="13">
        <f>'4.1 Comptes 2023 natures'!AF20/'4.1 Comptes 2023 natures'!AF3</f>
        <v>371.02553398058251</v>
      </c>
      <c r="AG20" s="13">
        <f>'4.1 Comptes 2023 natures'!AG20/'4.1 Comptes 2023 natures'!AG3</f>
        <v>316.58406542056076</v>
      </c>
      <c r="AH20" s="13">
        <f>'4.1 Comptes 2023 natures'!AH20/'4.1 Comptes 2023 natures'!AH3</f>
        <v>603.82907949790797</v>
      </c>
      <c r="AI20" s="13">
        <f>'4.1 Comptes 2023 natures'!AI20/'4.1 Comptes 2023 natures'!AI3</f>
        <v>355.10296</v>
      </c>
      <c r="AJ20" s="13">
        <f>'4.1 Comptes 2023 natures'!AJ20/'4.1 Comptes 2023 natures'!AJ3</f>
        <v>170.46836916622968</v>
      </c>
      <c r="AK20" s="13">
        <f>'4.1 Comptes 2023 natures'!AK20/'4.1 Comptes 2023 natures'!AK3</f>
        <v>498.94220458553787</v>
      </c>
      <c r="AL20" s="13">
        <f>'4.1 Comptes 2023 natures'!AL20/'4.1 Comptes 2023 natures'!AL3</f>
        <v>385.16975062344142</v>
      </c>
      <c r="AM20" s="13">
        <f>'4.1 Comptes 2023 natures'!AM20/'4.1 Comptes 2023 natures'!AM3</f>
        <v>1068.2917857142857</v>
      </c>
      <c r="AN20" s="13">
        <f>'4.1 Comptes 2023 natures'!AN20/'4.1 Comptes 2023 natures'!AN3</f>
        <v>304.1269171648164</v>
      </c>
      <c r="AO20" s="13">
        <f>'4.1 Comptes 2023 natures'!AO20/'4.1 Comptes 2023 natures'!AO3</f>
        <v>184.446</v>
      </c>
      <c r="AP20" s="13">
        <f>'4.1 Comptes 2023 natures'!AP20/'4.1 Comptes 2023 natures'!AP3</f>
        <v>207.77202852614897</v>
      </c>
      <c r="AQ20" s="13">
        <f>'4.1 Comptes 2023 natures'!AQ20/'4.1 Comptes 2023 natures'!AQ3</f>
        <v>527.88079598145282</v>
      </c>
      <c r="AR20" s="13">
        <f>'4.1 Comptes 2023 natures'!AR20/'4.1 Comptes 2023 natures'!AR3</f>
        <v>212.74080443828015</v>
      </c>
      <c r="AS20" s="13">
        <f>'4.1 Comptes 2023 natures'!AS20/'4.1 Comptes 2023 natures'!AS3</f>
        <v>380.7212075471698</v>
      </c>
      <c r="AT20" s="13">
        <f>'4.1 Comptes 2023 natures'!AT20/'4.1 Comptes 2023 natures'!AT3</f>
        <v>338.11805732484078</v>
      </c>
      <c r="AU20" s="13">
        <f>'4.1 Comptes 2023 natures'!AU20/'4.1 Comptes 2023 natures'!AU3</f>
        <v>206.58121891561353</v>
      </c>
      <c r="AV20" s="13">
        <f>'4.1 Comptes 2023 natures'!AV20/'4.1 Comptes 2023 natures'!AV3</f>
        <v>308.84041343669253</v>
      </c>
      <c r="AW20" s="13">
        <f>'4.1 Comptes 2023 natures'!AW20/'4.1 Comptes 2023 natures'!AW3</f>
        <v>138.78509641873276</v>
      </c>
      <c r="AX20" s="13">
        <f>'4.1 Comptes 2023 natures'!AX20/'4.1 Comptes 2023 natures'!AX3</f>
        <v>284.10153614457835</v>
      </c>
      <c r="AY20" s="13">
        <f>'4.1 Comptes 2023 natures'!AY20/'4.1 Comptes 2023 natures'!AY3</f>
        <v>298.1182817243473</v>
      </c>
      <c r="AZ20" s="13">
        <f>'4.1 Comptes 2023 natures'!AZ20/'4.1 Comptes 2023 natures'!AZ3</f>
        <v>771.60149606299206</v>
      </c>
      <c r="BA20" s="13">
        <f>'4.1 Comptes 2023 natures'!BA20/'4.1 Comptes 2023 natures'!BA3</f>
        <v>301.3851371807001</v>
      </c>
      <c r="BB20" s="13">
        <f>'4.1 Comptes 2023 natures'!BB20/'4.1 Comptes 2023 natures'!BB3</f>
        <v>340.52380245417362</v>
      </c>
      <c r="BC20" s="13">
        <f>'4.1 Comptes 2023 natures'!BC20/'4.1 Comptes 2023 natures'!BC3</f>
        <v>234.29020109689216</v>
      </c>
      <c r="BD20" s="13">
        <f>'4.1 Comptes 2023 natures'!BD20/'4.1 Comptes 2023 natures'!BD3</f>
        <v>291.2763843429737</v>
      </c>
      <c r="BE20" s="13">
        <f>'4.1 Comptes 2023 natures'!BE20/'4.1 Comptes 2023 natures'!BE3</f>
        <v>229.15184266263239</v>
      </c>
      <c r="BF20" s="13">
        <f>'4.1 Comptes 2023 natures'!BF20/'4.1 Comptes 2023 natures'!BF3</f>
        <v>458.43563099420754</v>
      </c>
      <c r="BG20" s="13">
        <f>'4.1 Comptes 2023 natures'!BG20/'4.1 Comptes 2023 natures'!BG3</f>
        <v>320.15946914644661</v>
      </c>
    </row>
    <row r="21" spans="2:59" x14ac:dyDescent="0.2">
      <c r="C21" s="8">
        <v>314</v>
      </c>
      <c r="D21" s="8" t="s">
        <v>814</v>
      </c>
      <c r="E21" s="13">
        <f>'4.1 Comptes 2023 natures'!E21/'4.1 Comptes 2023 natures'!E3</f>
        <v>137.3302289281998</v>
      </c>
      <c r="F21" s="13">
        <f>'4.1 Comptes 2023 natures'!F21/'4.1 Comptes 2023 natures'!F3</f>
        <v>125.58521072796934</v>
      </c>
      <c r="G21" s="13">
        <f>'4.1 Comptes 2023 natures'!G21/'4.1 Comptes 2023 natures'!G3</f>
        <v>109.95161943319837</v>
      </c>
      <c r="H21" s="13">
        <f>'4.1 Comptes 2023 natures'!H21/'4.1 Comptes 2023 natures'!H3</f>
        <v>97.553910112359546</v>
      </c>
      <c r="I21" s="13">
        <f>'4.1 Comptes 2023 natures'!I21/'4.1 Comptes 2023 natures'!I3</f>
        <v>121.72142896100354</v>
      </c>
      <c r="J21" s="13">
        <f>'4.1 Comptes 2023 natures'!J21/'4.1 Comptes 2023 natures'!J3</f>
        <v>75.953451118963486</v>
      </c>
      <c r="K21" s="13">
        <f>'4.1 Comptes 2023 natures'!K21/'4.1 Comptes 2023 natures'!K3</f>
        <v>195.78482378854625</v>
      </c>
      <c r="L21" s="13">
        <f>'4.1 Comptes 2023 natures'!L21/'4.1 Comptes 2023 natures'!L3</f>
        <v>84.317894654211472</v>
      </c>
      <c r="M21" s="13">
        <f>'4.1 Comptes 2023 natures'!M21/'4.1 Comptes 2023 natures'!M3</f>
        <v>152.05187317784257</v>
      </c>
      <c r="N21" s="13">
        <f>'4.1 Comptes 2023 natures'!N21/'4.1 Comptes 2023 natures'!N3</f>
        <v>258.51923076923077</v>
      </c>
      <c r="O21" s="13">
        <f>'4.1 Comptes 2023 natures'!O21/'4.1 Comptes 2023 natures'!O3</f>
        <v>111.26697229013854</v>
      </c>
      <c r="P21" s="13">
        <f>'4.1 Comptes 2023 natures'!P21/'4.1 Comptes 2023 natures'!P3</f>
        <v>202.01110280373831</v>
      </c>
      <c r="Q21" s="13">
        <f>'4.1 Comptes 2023 natures'!Q21/'4.1 Comptes 2023 natures'!Q3</f>
        <v>89.420089285714283</v>
      </c>
      <c r="R21" s="13">
        <f>'4.1 Comptes 2023 natures'!R21/'4.1 Comptes 2023 natures'!R3</f>
        <v>105.40404761904762</v>
      </c>
      <c r="S21" s="13">
        <f>'4.1 Comptes 2023 natures'!S21/'4.1 Comptes 2023 natures'!S3</f>
        <v>105.95217765042979</v>
      </c>
      <c r="T21" s="13">
        <f>'4.1 Comptes 2023 natures'!T21/'4.1 Comptes 2023 natures'!T3</f>
        <v>281.06875852660301</v>
      </c>
      <c r="U21" s="13">
        <f>'4.1 Comptes 2023 natures'!U21/'4.1 Comptes 2023 natures'!U3</f>
        <v>176.39688644688644</v>
      </c>
      <c r="V21" s="13">
        <f>'4.1 Comptes 2023 natures'!V21/'4.1 Comptes 2023 natures'!V3</f>
        <v>131.13317865429235</v>
      </c>
      <c r="W21" s="13">
        <f>'4.1 Comptes 2023 natures'!W21/'4.1 Comptes 2023 natures'!W3</f>
        <v>115.20278066687061</v>
      </c>
      <c r="X21" s="13">
        <f>'4.1 Comptes 2023 natures'!X21/'4.1 Comptes 2023 natures'!X3</f>
        <v>149.41852459016394</v>
      </c>
      <c r="Y21" s="13">
        <f>'4.1 Comptes 2023 natures'!Y21/'4.1 Comptes 2023 natures'!Y3</f>
        <v>194.02392172523963</v>
      </c>
      <c r="Z21" s="13">
        <f>'4.1 Comptes 2023 natures'!Z21/'4.1 Comptes 2023 natures'!Z3</f>
        <v>268.47672959805112</v>
      </c>
      <c r="AA21" s="13">
        <f>'4.1 Comptes 2023 natures'!AA21/'4.1 Comptes 2023 natures'!AA3</f>
        <v>92.02416107382551</v>
      </c>
      <c r="AB21" s="13">
        <f>'4.1 Comptes 2023 natures'!AB21/'4.1 Comptes 2023 natures'!AB3</f>
        <v>303.95941176470586</v>
      </c>
      <c r="AC21" s="13">
        <f>'4.1 Comptes 2023 natures'!AC21/'4.1 Comptes 2023 natures'!AC3</f>
        <v>215.2474647887324</v>
      </c>
      <c r="AD21" s="13">
        <f>'4.1 Comptes 2023 natures'!AD21/'4.1 Comptes 2023 natures'!AD3</f>
        <v>97.331890459363962</v>
      </c>
      <c r="AE21" s="13">
        <f>'4.1 Comptes 2023 natures'!AE21/'4.1 Comptes 2023 natures'!AE3</f>
        <v>592.73230314960631</v>
      </c>
      <c r="AF21" s="13">
        <f>'4.1 Comptes 2023 natures'!AF21/'4.1 Comptes 2023 natures'!AF3</f>
        <v>252.44306080735819</v>
      </c>
      <c r="AG21" s="13">
        <f>'4.1 Comptes 2023 natures'!AG21/'4.1 Comptes 2023 natures'!AG3</f>
        <v>221.94957554517134</v>
      </c>
      <c r="AH21" s="13">
        <f>'4.1 Comptes 2023 natures'!AH21/'4.1 Comptes 2023 natures'!AH3</f>
        <v>180.61301255230126</v>
      </c>
      <c r="AI21" s="13">
        <f>'4.1 Comptes 2023 natures'!AI21/'4.1 Comptes 2023 natures'!AI3</f>
        <v>255.298</v>
      </c>
      <c r="AJ21" s="13">
        <f>'4.1 Comptes 2023 natures'!AJ21/'4.1 Comptes 2023 natures'!AJ3</f>
        <v>100.54305191400105</v>
      </c>
      <c r="AK21" s="13">
        <f>'4.1 Comptes 2023 natures'!AK21/'4.1 Comptes 2023 natures'!AK3</f>
        <v>277.32227513227514</v>
      </c>
      <c r="AL21" s="13">
        <f>'4.1 Comptes 2023 natures'!AL21/'4.1 Comptes 2023 natures'!AL3</f>
        <v>180.77780548628431</v>
      </c>
      <c r="AM21" s="13">
        <f>'4.1 Comptes 2023 natures'!AM21/'4.1 Comptes 2023 natures'!AM3</f>
        <v>120.14598214285715</v>
      </c>
      <c r="AN21" s="13">
        <f>'4.1 Comptes 2023 natures'!AN21/'4.1 Comptes 2023 natures'!AN3</f>
        <v>477.18111016225447</v>
      </c>
      <c r="AO21" s="13">
        <f>'4.1 Comptes 2023 natures'!AO21/'4.1 Comptes 2023 natures'!AO3</f>
        <v>152.76343511450384</v>
      </c>
      <c r="AP21" s="13">
        <f>'4.1 Comptes 2023 natures'!AP21/'4.1 Comptes 2023 natures'!AP3</f>
        <v>197.80324881141047</v>
      </c>
      <c r="AQ21" s="13">
        <f>'4.1 Comptes 2023 natures'!AQ21/'4.1 Comptes 2023 natures'!AQ3</f>
        <v>264.65251159196288</v>
      </c>
      <c r="AR21" s="13">
        <f>'4.1 Comptes 2023 natures'!AR21/'4.1 Comptes 2023 natures'!AR3</f>
        <v>149.76518723994451</v>
      </c>
      <c r="AS21" s="13">
        <f>'4.1 Comptes 2023 natures'!AS21/'4.1 Comptes 2023 natures'!AS3</f>
        <v>97.041179245283018</v>
      </c>
      <c r="AT21" s="13">
        <f>'4.1 Comptes 2023 natures'!AT21/'4.1 Comptes 2023 natures'!AT3</f>
        <v>99.327229299363054</v>
      </c>
      <c r="AU21" s="13">
        <f>'4.1 Comptes 2023 natures'!AU21/'4.1 Comptes 2023 natures'!AU3</f>
        <v>99.21641663269466</v>
      </c>
      <c r="AV21" s="13">
        <f>'4.1 Comptes 2023 natures'!AV21/'4.1 Comptes 2023 natures'!AV3</f>
        <v>143.36872093023257</v>
      </c>
      <c r="AW21" s="13">
        <f>'4.1 Comptes 2023 natures'!AW21/'4.1 Comptes 2023 natures'!AW3</f>
        <v>217.18250688705234</v>
      </c>
      <c r="AX21" s="13">
        <f>'4.1 Comptes 2023 natures'!AX21/'4.1 Comptes 2023 natures'!AX3</f>
        <v>313.71054216867469</v>
      </c>
      <c r="AY21" s="13">
        <f>'4.1 Comptes 2023 natures'!AY21/'4.1 Comptes 2023 natures'!AY3</f>
        <v>126.62165755919854</v>
      </c>
      <c r="AZ21" s="13">
        <f>'4.1 Comptes 2023 natures'!AZ21/'4.1 Comptes 2023 natures'!AZ3</f>
        <v>153.90028871391075</v>
      </c>
      <c r="BA21" s="13">
        <f>'4.1 Comptes 2023 natures'!BA21/'4.1 Comptes 2023 natures'!BA3</f>
        <v>174.8716177861873</v>
      </c>
      <c r="BB21" s="13">
        <f>'4.1 Comptes 2023 natures'!BB21/'4.1 Comptes 2023 natures'!BB3</f>
        <v>160.00633540372672</v>
      </c>
      <c r="BC21" s="13">
        <f>'4.1 Comptes 2023 natures'!BC21/'4.1 Comptes 2023 natures'!BC3</f>
        <v>201.08893967093235</v>
      </c>
      <c r="BD21" s="13">
        <f>'4.1 Comptes 2023 natures'!BD21/'4.1 Comptes 2023 natures'!BD3</f>
        <v>151.9271851692869</v>
      </c>
      <c r="BE21" s="13">
        <f>'4.1 Comptes 2023 natures'!BE21/'4.1 Comptes 2023 natures'!BE3</f>
        <v>113.93991452344932</v>
      </c>
      <c r="BF21" s="13">
        <f>'4.1 Comptes 2023 natures'!BF21/'4.1 Comptes 2023 natures'!BF3</f>
        <v>241.77762700598234</v>
      </c>
      <c r="BG21" s="13">
        <f>'4.1 Comptes 2023 natures'!BG21/'4.1 Comptes 2023 natures'!BG3</f>
        <v>174.93330869975779</v>
      </c>
    </row>
    <row r="22" spans="2:59" x14ac:dyDescent="0.2">
      <c r="C22" s="8">
        <v>315</v>
      </c>
      <c r="D22" s="8" t="s">
        <v>89</v>
      </c>
      <c r="E22" s="13">
        <f>'4.1 Comptes 2023 natures'!E22/'4.1 Comptes 2023 natures'!E3</f>
        <v>57.697762747138398</v>
      </c>
      <c r="F22" s="13">
        <f>'4.1 Comptes 2023 natures'!F22/'4.1 Comptes 2023 natures'!F3</f>
        <v>47.460153256704984</v>
      </c>
      <c r="G22" s="13">
        <f>'4.1 Comptes 2023 natures'!G22/'4.1 Comptes 2023 natures'!G3</f>
        <v>15.901315789473685</v>
      </c>
      <c r="H22" s="13">
        <f>'4.1 Comptes 2023 natures'!H22/'4.1 Comptes 2023 natures'!H3</f>
        <v>44.342471910112366</v>
      </c>
      <c r="I22" s="13">
        <f>'4.1 Comptes 2023 natures'!I22/'4.1 Comptes 2023 natures'!I3</f>
        <v>50.317013907826556</v>
      </c>
      <c r="J22" s="13">
        <f>'4.1 Comptes 2023 natures'!J22/'4.1 Comptes 2023 natures'!J3</f>
        <v>6.5478209658421678</v>
      </c>
      <c r="K22" s="13">
        <f>'4.1 Comptes 2023 natures'!K22/'4.1 Comptes 2023 natures'!K3</f>
        <v>31.097951541850222</v>
      </c>
      <c r="L22" s="13">
        <f>'4.1 Comptes 2023 natures'!L22/'4.1 Comptes 2023 natures'!L3</f>
        <v>75.528823298532075</v>
      </c>
      <c r="M22" s="13">
        <f>'4.1 Comptes 2023 natures'!M22/'4.1 Comptes 2023 natures'!M3</f>
        <v>63.686137026239074</v>
      </c>
      <c r="N22" s="13">
        <f>'4.1 Comptes 2023 natures'!N22/'4.1 Comptes 2023 natures'!N3</f>
        <v>55.27820512820513</v>
      </c>
      <c r="O22" s="13">
        <f>'4.1 Comptes 2023 natures'!O22/'4.1 Comptes 2023 natures'!O3</f>
        <v>40.347697636511818</v>
      </c>
      <c r="P22" s="13">
        <f>'4.1 Comptes 2023 natures'!P22/'4.1 Comptes 2023 natures'!P3</f>
        <v>35.08196261682243</v>
      </c>
      <c r="Q22" s="13">
        <f>'4.1 Comptes 2023 natures'!Q22/'4.1 Comptes 2023 natures'!Q3</f>
        <v>16.34017857142857</v>
      </c>
      <c r="R22" s="13">
        <f>'4.1 Comptes 2023 natures'!R22/'4.1 Comptes 2023 natures'!R3</f>
        <v>44.758380952380953</v>
      </c>
      <c r="S22" s="13">
        <f>'4.1 Comptes 2023 natures'!S22/'4.1 Comptes 2023 natures'!S3</f>
        <v>76.267478510028653</v>
      </c>
      <c r="T22" s="13">
        <f>'4.1 Comptes 2023 natures'!T22/'4.1 Comptes 2023 natures'!T3</f>
        <v>41.178035470668483</v>
      </c>
      <c r="U22" s="13">
        <f>'4.1 Comptes 2023 natures'!U22/'4.1 Comptes 2023 natures'!U3</f>
        <v>25.238461538461539</v>
      </c>
      <c r="V22" s="13">
        <f>'4.1 Comptes 2023 natures'!V22/'4.1 Comptes 2023 natures'!V3</f>
        <v>96.353480278422268</v>
      </c>
      <c r="W22" s="13">
        <f>'4.1 Comptes 2023 natures'!W22/'4.1 Comptes 2023 natures'!W3</f>
        <v>42.729987763842146</v>
      </c>
      <c r="X22" s="13">
        <f>'4.1 Comptes 2023 natures'!X22/'4.1 Comptes 2023 natures'!X3</f>
        <v>5.25</v>
      </c>
      <c r="Y22" s="13">
        <f>'4.1 Comptes 2023 natures'!Y22/'4.1 Comptes 2023 natures'!Y3</f>
        <v>77.639896166134179</v>
      </c>
      <c r="Z22" s="13">
        <f>'4.1 Comptes 2023 natures'!Z22/'4.1 Comptes 2023 natures'!Z3</f>
        <v>39.688855054811206</v>
      </c>
      <c r="AA22" s="13">
        <f>'4.1 Comptes 2023 natures'!AA22/'4.1 Comptes 2023 natures'!AA3</f>
        <v>52.973825503355705</v>
      </c>
      <c r="AB22" s="13">
        <f>'4.1 Comptes 2023 natures'!AB22/'4.1 Comptes 2023 natures'!AB3</f>
        <v>64.194117647058818</v>
      </c>
      <c r="AC22" s="13">
        <f>'4.1 Comptes 2023 natures'!AC22/'4.1 Comptes 2023 natures'!AC3</f>
        <v>81.150704225352115</v>
      </c>
      <c r="AD22" s="13">
        <f>'4.1 Comptes 2023 natures'!AD22/'4.1 Comptes 2023 natures'!AD3</f>
        <v>71.408215547703179</v>
      </c>
      <c r="AE22" s="13">
        <f>'4.1 Comptes 2023 natures'!AE22/'4.1 Comptes 2023 natures'!AE3</f>
        <v>36.071653543307086</v>
      </c>
      <c r="AF22" s="13">
        <f>'4.1 Comptes 2023 natures'!AF22/'4.1 Comptes 2023 natures'!AF3</f>
        <v>80.239841594276953</v>
      </c>
      <c r="AG22" s="13">
        <f>'4.1 Comptes 2023 natures'!AG22/'4.1 Comptes 2023 natures'!AG3</f>
        <v>17.62028816199377</v>
      </c>
      <c r="AH22" s="13">
        <f>'4.1 Comptes 2023 natures'!AH22/'4.1 Comptes 2023 natures'!AH3</f>
        <v>42.183598326359828</v>
      </c>
      <c r="AI22" s="13">
        <f>'4.1 Comptes 2023 natures'!AI22/'4.1 Comptes 2023 natures'!AI3</f>
        <v>59.991199999999999</v>
      </c>
      <c r="AJ22" s="13">
        <f>'4.1 Comptes 2023 natures'!AJ22/'4.1 Comptes 2023 natures'!AJ3</f>
        <v>13.011961195595177</v>
      </c>
      <c r="AK22" s="13">
        <f>'4.1 Comptes 2023 natures'!AK22/'4.1 Comptes 2023 natures'!AK3</f>
        <v>84.305837742504409</v>
      </c>
      <c r="AL22" s="13">
        <f>'4.1 Comptes 2023 natures'!AL22/'4.1 Comptes 2023 natures'!AL3</f>
        <v>47.78029093931837</v>
      </c>
      <c r="AM22" s="13">
        <f>'4.1 Comptes 2023 natures'!AM22/'4.1 Comptes 2023 natures'!AM3</f>
        <v>14.224107142857141</v>
      </c>
      <c r="AN22" s="13">
        <f>'4.1 Comptes 2023 natures'!AN22/'4.1 Comptes 2023 natures'!AN3</f>
        <v>80.768573868488474</v>
      </c>
      <c r="AO22" s="13">
        <f>'4.1 Comptes 2023 natures'!AO22/'4.1 Comptes 2023 natures'!AO3</f>
        <v>73.227557251908408</v>
      </c>
      <c r="AP22" s="13">
        <f>'4.1 Comptes 2023 natures'!AP22/'4.1 Comptes 2023 natures'!AP3</f>
        <v>57.317194928684629</v>
      </c>
      <c r="AQ22" s="13">
        <f>'4.1 Comptes 2023 natures'!AQ22/'4.1 Comptes 2023 natures'!AQ3</f>
        <v>74.8477202472952</v>
      </c>
      <c r="AR22" s="13">
        <f>'4.1 Comptes 2023 natures'!AR22/'4.1 Comptes 2023 natures'!AR3</f>
        <v>59.327947295423023</v>
      </c>
      <c r="AS22" s="13">
        <f>'4.1 Comptes 2023 natures'!AS22/'4.1 Comptes 2023 natures'!AS3</f>
        <v>61.8236320754717</v>
      </c>
      <c r="AT22" s="13">
        <f>'4.1 Comptes 2023 natures'!AT22/'4.1 Comptes 2023 natures'!AT3</f>
        <v>22.123726114649681</v>
      </c>
      <c r="AU22" s="13">
        <f>'4.1 Comptes 2023 natures'!AU22/'4.1 Comptes 2023 natures'!AU3</f>
        <v>25.459135752140238</v>
      </c>
      <c r="AV22" s="13">
        <f>'4.1 Comptes 2023 natures'!AV22/'4.1 Comptes 2023 natures'!AV3</f>
        <v>55.664599483204135</v>
      </c>
      <c r="AW22" s="13">
        <f>'4.1 Comptes 2023 natures'!AW22/'4.1 Comptes 2023 natures'!AW3</f>
        <v>74.757438016528923</v>
      </c>
      <c r="AX22" s="13">
        <f>'4.1 Comptes 2023 natures'!AX22/'4.1 Comptes 2023 natures'!AX3</f>
        <v>66.842168674698797</v>
      </c>
      <c r="AY22" s="13">
        <f>'4.1 Comptes 2023 natures'!AY22/'4.1 Comptes 2023 natures'!AY3</f>
        <v>26.008227079538557</v>
      </c>
      <c r="AZ22" s="13">
        <f>'4.1 Comptes 2023 natures'!AZ22/'4.1 Comptes 2023 natures'!AZ3</f>
        <v>41.240026246719161</v>
      </c>
      <c r="BA22" s="13">
        <f>'4.1 Comptes 2023 natures'!BA22/'4.1 Comptes 2023 natures'!BA3</f>
        <v>54.700690633869442</v>
      </c>
      <c r="BB22" s="13">
        <f>'4.1 Comptes 2023 natures'!BB22/'4.1 Comptes 2023 natures'!BB3</f>
        <v>67.339701560369633</v>
      </c>
      <c r="BC22" s="13">
        <f>'4.1 Comptes 2023 natures'!BC22/'4.1 Comptes 2023 natures'!BC3</f>
        <v>59.155210237659965</v>
      </c>
      <c r="BD22" s="13">
        <f>'4.1 Comptes 2023 natures'!BD22/'4.1 Comptes 2023 natures'!BD3</f>
        <v>52.09343778505125</v>
      </c>
      <c r="BE22" s="13">
        <f>'4.1 Comptes 2023 natures'!BE22/'4.1 Comptes 2023 natures'!BE3</f>
        <v>51.039573121533053</v>
      </c>
      <c r="BF22" s="13">
        <f>'4.1 Comptes 2023 natures'!BF22/'4.1 Comptes 2023 natures'!BF3</f>
        <v>51.355531288576579</v>
      </c>
      <c r="BG22" s="13">
        <f>'4.1 Comptes 2023 natures'!BG22/'4.1 Comptes 2023 natures'!BG3</f>
        <v>54.128465328242385</v>
      </c>
    </row>
    <row r="23" spans="2:59" x14ac:dyDescent="0.2">
      <c r="C23" s="8">
        <v>316</v>
      </c>
      <c r="D23" s="8" t="s">
        <v>90</v>
      </c>
      <c r="E23" s="13">
        <f>'4.1 Comptes 2023 natures'!E23/'4.1 Comptes 2023 natures'!E3</f>
        <v>4.0345473465140476</v>
      </c>
      <c r="F23" s="13">
        <f>'4.1 Comptes 2023 natures'!F23/'4.1 Comptes 2023 natures'!F3</f>
        <v>12.476819923371647</v>
      </c>
      <c r="G23" s="13">
        <f>'4.1 Comptes 2023 natures'!G23/'4.1 Comptes 2023 natures'!G3</f>
        <v>1.4390688259109312</v>
      </c>
      <c r="H23" s="13">
        <f>'4.1 Comptes 2023 natures'!H23/'4.1 Comptes 2023 natures'!H3</f>
        <v>193.79370786516853</v>
      </c>
      <c r="I23" s="13">
        <f>'4.1 Comptes 2023 natures'!I23/'4.1 Comptes 2023 natures'!I3</f>
        <v>10.634428688301062</v>
      </c>
      <c r="J23" s="13">
        <f>'4.1 Comptes 2023 natures'!J23/'4.1 Comptes 2023 natures'!J3</f>
        <v>10.228813309776209</v>
      </c>
      <c r="K23" s="13">
        <f>'4.1 Comptes 2023 natures'!K23/'4.1 Comptes 2023 natures'!K3</f>
        <v>15.789922907488986</v>
      </c>
      <c r="L23" s="13">
        <f>'4.1 Comptes 2023 natures'!L23/'4.1 Comptes 2023 natures'!L3</f>
        <v>60.734217756495795</v>
      </c>
      <c r="M23" s="13">
        <f>'4.1 Comptes 2023 natures'!M23/'4.1 Comptes 2023 natures'!M3</f>
        <v>19.963702623906705</v>
      </c>
      <c r="N23" s="13">
        <f>'4.1 Comptes 2023 natures'!N23/'4.1 Comptes 2023 natures'!N3</f>
        <v>10.256410256410257</v>
      </c>
      <c r="O23" s="13">
        <f>'4.1 Comptes 2023 natures'!O23/'4.1 Comptes 2023 natures'!O3</f>
        <v>15.325930453681066</v>
      </c>
      <c r="P23" s="13">
        <f>'4.1 Comptes 2023 natures'!P23/'4.1 Comptes 2023 natures'!P3</f>
        <v>4.0654205607476637E-2</v>
      </c>
      <c r="Q23" s="13">
        <f>'4.1 Comptes 2023 natures'!Q23/'4.1 Comptes 2023 natures'!Q3</f>
        <v>7.5892857142857144</v>
      </c>
      <c r="R23" s="13">
        <f>'4.1 Comptes 2023 natures'!R23/'4.1 Comptes 2023 natures'!R3</f>
        <v>0</v>
      </c>
      <c r="S23" s="13">
        <f>'4.1 Comptes 2023 natures'!S23/'4.1 Comptes 2023 natures'!S3</f>
        <v>0</v>
      </c>
      <c r="T23" s="13">
        <f>'4.1 Comptes 2023 natures'!T23/'4.1 Comptes 2023 natures'!T3</f>
        <v>0.73465211459754431</v>
      </c>
      <c r="U23" s="13">
        <f>'4.1 Comptes 2023 natures'!U23/'4.1 Comptes 2023 natures'!U3</f>
        <v>0</v>
      </c>
      <c r="V23" s="13">
        <f>'4.1 Comptes 2023 natures'!V23/'4.1 Comptes 2023 natures'!V3</f>
        <v>11.136890951276103</v>
      </c>
      <c r="W23" s="13">
        <f>'4.1 Comptes 2023 natures'!W23/'4.1 Comptes 2023 natures'!W3</f>
        <v>38.959834811869072</v>
      </c>
      <c r="X23" s="13">
        <f>'4.1 Comptes 2023 natures'!X23/'4.1 Comptes 2023 natures'!X3</f>
        <v>66.859475409836065</v>
      </c>
      <c r="Y23" s="13">
        <f>'4.1 Comptes 2023 natures'!Y23/'4.1 Comptes 2023 natures'!Y3</f>
        <v>27.041094249201276</v>
      </c>
      <c r="Z23" s="13">
        <f>'4.1 Comptes 2023 natures'!Z23/'4.1 Comptes 2023 natures'!Z3</f>
        <v>23.373934226552983</v>
      </c>
      <c r="AA23" s="13">
        <f>'4.1 Comptes 2023 natures'!AA23/'4.1 Comptes 2023 natures'!AA3</f>
        <v>16.211409395973153</v>
      </c>
      <c r="AB23" s="13">
        <f>'4.1 Comptes 2023 natures'!AB23/'4.1 Comptes 2023 natures'!AB3</f>
        <v>2.2745098039215685</v>
      </c>
      <c r="AC23" s="13">
        <f>'4.1 Comptes 2023 natures'!AC23/'4.1 Comptes 2023 natures'!AC3</f>
        <v>53.9518309859155</v>
      </c>
      <c r="AD23" s="13">
        <f>'4.1 Comptes 2023 natures'!AD23/'4.1 Comptes 2023 natures'!AD3</f>
        <v>8.2587455830388681</v>
      </c>
      <c r="AE23" s="13">
        <f>'4.1 Comptes 2023 natures'!AE23/'4.1 Comptes 2023 natures'!AE3</f>
        <v>0</v>
      </c>
      <c r="AF23" s="13">
        <f>'4.1 Comptes 2023 natures'!AF23/'4.1 Comptes 2023 natures'!AF3</f>
        <v>3.9971129279509454</v>
      </c>
      <c r="AG23" s="13">
        <f>'4.1 Comptes 2023 natures'!AG23/'4.1 Comptes 2023 natures'!AG3</f>
        <v>79.68952881619937</v>
      </c>
      <c r="AH23" s="13">
        <f>'4.1 Comptes 2023 natures'!AH23/'4.1 Comptes 2023 natures'!AH3</f>
        <v>8.7866108786610884</v>
      </c>
      <c r="AI23" s="13">
        <f>'4.1 Comptes 2023 natures'!AI23/'4.1 Comptes 2023 natures'!AI3</f>
        <v>0</v>
      </c>
      <c r="AJ23" s="13">
        <f>'4.1 Comptes 2023 natures'!AJ23/'4.1 Comptes 2023 natures'!AJ3</f>
        <v>0</v>
      </c>
      <c r="AK23" s="13">
        <f>'4.1 Comptes 2023 natures'!AK23/'4.1 Comptes 2023 natures'!AK3</f>
        <v>5.5570987654320989</v>
      </c>
      <c r="AL23" s="13">
        <f>'4.1 Comptes 2023 natures'!AL23/'4.1 Comptes 2023 natures'!AL3</f>
        <v>13.671363258520367</v>
      </c>
      <c r="AM23" s="13">
        <f>'4.1 Comptes 2023 natures'!AM23/'4.1 Comptes 2023 natures'!AM3</f>
        <v>0</v>
      </c>
      <c r="AN23" s="13">
        <f>'4.1 Comptes 2023 natures'!AN23/'4.1 Comptes 2023 natures'!AN3</f>
        <v>30.742954739538856</v>
      </c>
      <c r="AO23" s="13">
        <f>'4.1 Comptes 2023 natures'!AO23/'4.1 Comptes 2023 natures'!AO3</f>
        <v>58.650916030534347</v>
      </c>
      <c r="AP23" s="13">
        <f>'4.1 Comptes 2023 natures'!AP23/'4.1 Comptes 2023 natures'!AP3</f>
        <v>31.695721077654518</v>
      </c>
      <c r="AQ23" s="13">
        <f>'4.1 Comptes 2023 natures'!AQ23/'4.1 Comptes 2023 natures'!AQ3</f>
        <v>67.574497681607411</v>
      </c>
      <c r="AR23" s="13">
        <f>'4.1 Comptes 2023 natures'!AR23/'4.1 Comptes 2023 natures'!AR3</f>
        <v>33.496463245492372</v>
      </c>
      <c r="AS23" s="13">
        <f>'4.1 Comptes 2023 natures'!AS23/'4.1 Comptes 2023 natures'!AS3</f>
        <v>0</v>
      </c>
      <c r="AT23" s="13">
        <f>'4.1 Comptes 2023 natures'!AT23/'4.1 Comptes 2023 natures'!AT3</f>
        <v>0</v>
      </c>
      <c r="AU23" s="13">
        <f>'4.1 Comptes 2023 natures'!AU23/'4.1 Comptes 2023 natures'!AU3</f>
        <v>9.4999184671830417</v>
      </c>
      <c r="AV23" s="13">
        <f>'4.1 Comptes 2023 natures'!AV23/'4.1 Comptes 2023 natures'!AV3</f>
        <v>24.62105943152455</v>
      </c>
      <c r="AW23" s="13">
        <f>'4.1 Comptes 2023 natures'!AW23/'4.1 Comptes 2023 natures'!AW3</f>
        <v>0</v>
      </c>
      <c r="AX23" s="13">
        <f>'4.1 Comptes 2023 natures'!AX23/'4.1 Comptes 2023 natures'!AX3</f>
        <v>11.097590361445784</v>
      </c>
      <c r="AY23" s="13">
        <f>'4.1 Comptes 2023 natures'!AY23/'4.1 Comptes 2023 natures'!AY3</f>
        <v>21.237067395264116</v>
      </c>
      <c r="AZ23" s="13">
        <f>'4.1 Comptes 2023 natures'!AZ23/'4.1 Comptes 2023 natures'!AZ3</f>
        <v>0</v>
      </c>
      <c r="BA23" s="13">
        <f>'4.1 Comptes 2023 natures'!BA23/'4.1 Comptes 2023 natures'!BA3</f>
        <v>5.2109744560075688</v>
      </c>
      <c r="BB23" s="13">
        <f>'4.1 Comptes 2023 natures'!BB23/'4.1 Comptes 2023 natures'!BB3</f>
        <v>108.06482048174519</v>
      </c>
      <c r="BC23" s="13">
        <f>'4.1 Comptes 2023 natures'!BC23/'4.1 Comptes 2023 natures'!BC3</f>
        <v>1.0968921389396709</v>
      </c>
      <c r="BD23" s="13">
        <f>'4.1 Comptes 2023 natures'!BD23/'4.1 Comptes 2023 natures'!BD3</f>
        <v>35.446719965659703</v>
      </c>
      <c r="BE23" s="13">
        <f>'4.1 Comptes 2023 natures'!BE23/'4.1 Comptes 2023 natures'!BE3</f>
        <v>31.75771180030257</v>
      </c>
      <c r="BF23" s="13">
        <f>'4.1 Comptes 2023 natures'!BF23/'4.1 Comptes 2023 natures'!BF3</f>
        <v>33.591149938277468</v>
      </c>
      <c r="BG23" s="13">
        <f>'4.1 Comptes 2023 natures'!BG23/'4.1 Comptes 2023 natures'!BG3</f>
        <v>42.25573059079526</v>
      </c>
    </row>
    <row r="24" spans="2:59" x14ac:dyDescent="0.2">
      <c r="C24" s="8">
        <v>317</v>
      </c>
      <c r="D24" s="8" t="s">
        <v>91</v>
      </c>
      <c r="E24" s="13">
        <f>'4.1 Comptes 2023 natures'!E24/'4.1 Comptes 2023 natures'!E3</f>
        <v>20.847346514047867</v>
      </c>
      <c r="F24" s="13">
        <f>'4.1 Comptes 2023 natures'!F24/'4.1 Comptes 2023 natures'!F3</f>
        <v>12.407662835249042</v>
      </c>
      <c r="G24" s="13">
        <f>'4.1 Comptes 2023 natures'!G24/'4.1 Comptes 2023 natures'!G3</f>
        <v>1.7662955465587045</v>
      </c>
      <c r="H24" s="13">
        <f>'4.1 Comptes 2023 natures'!H24/'4.1 Comptes 2023 natures'!H3</f>
        <v>15.797415730337079</v>
      </c>
      <c r="I24" s="13">
        <f>'4.1 Comptes 2023 natures'!I24/'4.1 Comptes 2023 natures'!I3</f>
        <v>20.630365421325333</v>
      </c>
      <c r="J24" s="13">
        <f>'4.1 Comptes 2023 natures'!J24/'4.1 Comptes 2023 natures'!J3</f>
        <v>14.943616018845701</v>
      </c>
      <c r="K24" s="13">
        <f>'4.1 Comptes 2023 natures'!K24/'4.1 Comptes 2023 natures'!K3</f>
        <v>8.9640234948604984</v>
      </c>
      <c r="L24" s="13">
        <f>'4.1 Comptes 2023 natures'!L24/'4.1 Comptes 2023 natures'!L3</f>
        <v>5.8331297590077718</v>
      </c>
      <c r="M24" s="13">
        <f>'4.1 Comptes 2023 natures'!M24/'4.1 Comptes 2023 natures'!M3</f>
        <v>13.57612973760933</v>
      </c>
      <c r="N24" s="13">
        <f>'4.1 Comptes 2023 natures'!N24/'4.1 Comptes 2023 natures'!N3</f>
        <v>2.4871794871794872</v>
      </c>
      <c r="O24" s="13">
        <f>'4.1 Comptes 2023 natures'!O24/'4.1 Comptes 2023 natures'!O3</f>
        <v>8.4976908448791093</v>
      </c>
      <c r="P24" s="13">
        <f>'4.1 Comptes 2023 natures'!P24/'4.1 Comptes 2023 natures'!P3</f>
        <v>6.4654205607476634</v>
      </c>
      <c r="Q24" s="13">
        <f>'4.1 Comptes 2023 natures'!Q24/'4.1 Comptes 2023 natures'!Q3</f>
        <v>3.0089285714285716</v>
      </c>
      <c r="R24" s="13">
        <f>'4.1 Comptes 2023 natures'!R24/'4.1 Comptes 2023 natures'!R3</f>
        <v>8.3139285714285709</v>
      </c>
      <c r="S24" s="13">
        <f>'4.1 Comptes 2023 natures'!S24/'4.1 Comptes 2023 natures'!S3</f>
        <v>21.444842406876791</v>
      </c>
      <c r="T24" s="13">
        <f>'4.1 Comptes 2023 natures'!T24/'4.1 Comptes 2023 natures'!T3</f>
        <v>78.852387448840389</v>
      </c>
      <c r="U24" s="13">
        <f>'4.1 Comptes 2023 natures'!U24/'4.1 Comptes 2023 natures'!U3</f>
        <v>3.5999999999999996</v>
      </c>
      <c r="V24" s="13">
        <f>'4.1 Comptes 2023 natures'!V24/'4.1 Comptes 2023 natures'!V3</f>
        <v>6.6141531322505793</v>
      </c>
      <c r="W24" s="13">
        <f>'4.1 Comptes 2023 natures'!W24/'4.1 Comptes 2023 natures'!W3</f>
        <v>13.279672682777608</v>
      </c>
      <c r="X24" s="13">
        <f>'4.1 Comptes 2023 natures'!X24/'4.1 Comptes 2023 natures'!X3</f>
        <v>20.948196721311476</v>
      </c>
      <c r="Y24" s="13">
        <f>'4.1 Comptes 2023 natures'!Y24/'4.1 Comptes 2023 natures'!Y3</f>
        <v>25.633226837060704</v>
      </c>
      <c r="Z24" s="13">
        <f>'4.1 Comptes 2023 natures'!Z24/'4.1 Comptes 2023 natures'!Z3</f>
        <v>33.285383678440922</v>
      </c>
      <c r="AA24" s="13">
        <f>'4.1 Comptes 2023 natures'!AA24/'4.1 Comptes 2023 natures'!AA3</f>
        <v>5.1308724832214763</v>
      </c>
      <c r="AB24" s="13">
        <f>'4.1 Comptes 2023 natures'!AB24/'4.1 Comptes 2023 natures'!AB3</f>
        <v>9.0721568627450981</v>
      </c>
      <c r="AC24" s="13">
        <f>'4.1 Comptes 2023 natures'!AC24/'4.1 Comptes 2023 natures'!AC3</f>
        <v>7.310845070422535</v>
      </c>
      <c r="AD24" s="13">
        <f>'4.1 Comptes 2023 natures'!AD24/'4.1 Comptes 2023 natures'!AD3</f>
        <v>8.8659893992932854</v>
      </c>
      <c r="AE24" s="13">
        <f>'4.1 Comptes 2023 natures'!AE24/'4.1 Comptes 2023 natures'!AE3</f>
        <v>3.7303149606299213E-2</v>
      </c>
      <c r="AF24" s="13">
        <f>'4.1 Comptes 2023 natures'!AF24/'4.1 Comptes 2023 natures'!AF3</f>
        <v>12.330250383239653</v>
      </c>
      <c r="AG24" s="13">
        <f>'4.1 Comptes 2023 natures'!AG24/'4.1 Comptes 2023 natures'!AG3</f>
        <v>13.931464174454829</v>
      </c>
      <c r="AH24" s="13">
        <f>'4.1 Comptes 2023 natures'!AH24/'4.1 Comptes 2023 natures'!AH3</f>
        <v>6.1523012552301255</v>
      </c>
      <c r="AI24" s="13">
        <f>'4.1 Comptes 2023 natures'!AI24/'4.1 Comptes 2023 natures'!AI3</f>
        <v>15.715200000000001</v>
      </c>
      <c r="AJ24" s="13">
        <f>'4.1 Comptes 2023 natures'!AJ24/'4.1 Comptes 2023 natures'!AJ3</f>
        <v>16.330115364446776</v>
      </c>
      <c r="AK24" s="13">
        <f>'4.1 Comptes 2023 natures'!AK24/'4.1 Comptes 2023 natures'!AK3</f>
        <v>12.30299823633157</v>
      </c>
      <c r="AL24" s="13">
        <f>'4.1 Comptes 2023 natures'!AL24/'4.1 Comptes 2023 natures'!AL3</f>
        <v>20.897215295095592</v>
      </c>
      <c r="AM24" s="13">
        <f>'4.1 Comptes 2023 natures'!AM24/'4.1 Comptes 2023 natures'!AM3</f>
        <v>1.3549107142857142</v>
      </c>
      <c r="AN24" s="13">
        <f>'4.1 Comptes 2023 natures'!AN24/'4.1 Comptes 2023 natures'!AN3</f>
        <v>27.145858240819813</v>
      </c>
      <c r="AO24" s="13">
        <f>'4.1 Comptes 2023 natures'!AO24/'4.1 Comptes 2023 natures'!AO3</f>
        <v>4.0510687022900758</v>
      </c>
      <c r="AP24" s="13">
        <f>'4.1 Comptes 2023 natures'!AP24/'4.1 Comptes 2023 natures'!AP3</f>
        <v>1.7583201267828843</v>
      </c>
      <c r="AQ24" s="13">
        <f>'4.1 Comptes 2023 natures'!AQ24/'4.1 Comptes 2023 natures'!AQ3</f>
        <v>16.755061823802162</v>
      </c>
      <c r="AR24" s="13">
        <f>'4.1 Comptes 2023 natures'!AR24/'4.1 Comptes 2023 natures'!AR3</f>
        <v>13.617337031900139</v>
      </c>
      <c r="AS24" s="13">
        <f>'4.1 Comptes 2023 natures'!AS24/'4.1 Comptes 2023 natures'!AS3</f>
        <v>11.058820754716981</v>
      </c>
      <c r="AT24" s="13">
        <f>'4.1 Comptes 2023 natures'!AT24/'4.1 Comptes 2023 natures'!AT3</f>
        <v>5.9984076433121016</v>
      </c>
      <c r="AU24" s="13">
        <f>'4.1 Comptes 2023 natures'!AU24/'4.1 Comptes 2023 natures'!AU3</f>
        <v>23.463575214023646</v>
      </c>
      <c r="AV24" s="13">
        <f>'4.1 Comptes 2023 natures'!AV24/'4.1 Comptes 2023 natures'!AV3</f>
        <v>4.6099483204134364</v>
      </c>
      <c r="AW24" s="13">
        <f>'4.1 Comptes 2023 natures'!AW24/'4.1 Comptes 2023 natures'!AW3</f>
        <v>1.4911845730027546</v>
      </c>
      <c r="AX24" s="13">
        <f>'4.1 Comptes 2023 natures'!AX24/'4.1 Comptes 2023 natures'!AX3</f>
        <v>10.775150602409639</v>
      </c>
      <c r="AY24" s="13">
        <f>'4.1 Comptes 2023 natures'!AY24/'4.1 Comptes 2023 natures'!AY3</f>
        <v>13.938646023072254</v>
      </c>
      <c r="AZ24" s="13">
        <f>'4.1 Comptes 2023 natures'!AZ24/'4.1 Comptes 2023 natures'!AZ3</f>
        <v>8.3849081364829399</v>
      </c>
      <c r="BA24" s="13">
        <f>'4.1 Comptes 2023 natures'!BA24/'4.1 Comptes 2023 natures'!BA3</f>
        <v>19.664049195837276</v>
      </c>
      <c r="BB24" s="13">
        <f>'4.1 Comptes 2023 natures'!BB24/'4.1 Comptes 2023 natures'!BB3</f>
        <v>9.8181275564308432</v>
      </c>
      <c r="BC24" s="13">
        <f>'4.1 Comptes 2023 natures'!BC24/'4.1 Comptes 2023 natures'!BC3</f>
        <v>10.743784277879342</v>
      </c>
      <c r="BD24" s="13">
        <f>'4.1 Comptes 2023 natures'!BD24/'4.1 Comptes 2023 natures'!BD3</f>
        <v>12.925859848688093</v>
      </c>
      <c r="BE24" s="13">
        <f>'4.1 Comptes 2023 natures'!BE24/'4.1 Comptes 2023 natures'!BE3</f>
        <v>11.537935199193141</v>
      </c>
      <c r="BF24" s="13">
        <f>'4.1 Comptes 2023 natures'!BF24/'4.1 Comptes 2023 natures'!BF3</f>
        <v>16.341923843889468</v>
      </c>
      <c r="BG24" s="13">
        <f>'4.1 Comptes 2023 natures'!BG24/'4.1 Comptes 2023 natures'!BG3</f>
        <v>13.708818409492137</v>
      </c>
    </row>
    <row r="25" spans="2:59" x14ac:dyDescent="0.2">
      <c r="C25" s="8">
        <v>318</v>
      </c>
      <c r="D25" s="8" t="s">
        <v>92</v>
      </c>
      <c r="E25" s="13">
        <f>'4.1 Comptes 2023 natures'!E25/'4.1 Comptes 2023 natures'!E3</f>
        <v>22.543985431841833</v>
      </c>
      <c r="F25" s="13">
        <f>'4.1 Comptes 2023 natures'!F25/'4.1 Comptes 2023 natures'!F3</f>
        <v>1.0763984674329501</v>
      </c>
      <c r="G25" s="13">
        <f>'4.1 Comptes 2023 natures'!G25/'4.1 Comptes 2023 natures'!G3</f>
        <v>-57.450222672064776</v>
      </c>
      <c r="H25" s="13">
        <f>'4.1 Comptes 2023 natures'!H25/'4.1 Comptes 2023 natures'!H3</f>
        <v>22.319662921348314</v>
      </c>
      <c r="I25" s="13">
        <f>'4.1 Comptes 2023 natures'!I25/'4.1 Comptes 2023 natures'!I3</f>
        <v>64.601636214889552</v>
      </c>
      <c r="J25" s="13">
        <f>'4.1 Comptes 2023 natures'!J25/'4.1 Comptes 2023 natures'!J3</f>
        <v>28.731383981154298</v>
      </c>
      <c r="K25" s="13">
        <f>'4.1 Comptes 2023 natures'!K25/'4.1 Comptes 2023 natures'!K3</f>
        <v>26.794104258443465</v>
      </c>
      <c r="L25" s="13">
        <f>'4.1 Comptes 2023 natures'!L25/'4.1 Comptes 2023 natures'!L3</f>
        <v>36.705599340607584</v>
      </c>
      <c r="M25" s="13">
        <f>'4.1 Comptes 2023 natures'!M25/'4.1 Comptes 2023 natures'!M3</f>
        <v>15.611567055393586</v>
      </c>
      <c r="N25" s="13">
        <f>'4.1 Comptes 2023 natures'!N25/'4.1 Comptes 2023 natures'!N3</f>
        <v>0.27230769230769231</v>
      </c>
      <c r="O25" s="13">
        <f>'4.1 Comptes 2023 natures'!O25/'4.1 Comptes 2023 natures'!O3</f>
        <v>27.008322466720998</v>
      </c>
      <c r="P25" s="13">
        <f>'4.1 Comptes 2023 natures'!P25/'4.1 Comptes 2023 natures'!P3</f>
        <v>32.00110280373832</v>
      </c>
      <c r="Q25" s="13">
        <f>'4.1 Comptes 2023 natures'!Q25/'4.1 Comptes 2023 natures'!Q3</f>
        <v>2.9821428571428572E-2</v>
      </c>
      <c r="R25" s="13">
        <f>'4.1 Comptes 2023 natures'!R25/'4.1 Comptes 2023 natures'!R3</f>
        <v>81.337547619047612</v>
      </c>
      <c r="S25" s="13">
        <f>'4.1 Comptes 2023 natures'!S25/'4.1 Comptes 2023 natures'!S3</f>
        <v>35.103954154727795</v>
      </c>
      <c r="T25" s="13">
        <f>'4.1 Comptes 2023 natures'!T25/'4.1 Comptes 2023 natures'!T3</f>
        <v>21.635266030013643</v>
      </c>
      <c r="U25" s="13">
        <f>'4.1 Comptes 2023 natures'!U25/'4.1 Comptes 2023 natures'!U3</f>
        <v>1.7570695970695971</v>
      </c>
      <c r="V25" s="13">
        <f>'4.1 Comptes 2023 natures'!V25/'4.1 Comptes 2023 natures'!V3</f>
        <v>40.320371229698381</v>
      </c>
      <c r="W25" s="13">
        <f>'4.1 Comptes 2023 natures'!W25/'4.1 Comptes 2023 natures'!W3</f>
        <v>35.92337717956562</v>
      </c>
      <c r="X25" s="13">
        <f>'4.1 Comptes 2023 natures'!X25/'4.1 Comptes 2023 natures'!X3</f>
        <v>54.207540983606556</v>
      </c>
      <c r="Y25" s="13">
        <f>'4.1 Comptes 2023 natures'!Y25/'4.1 Comptes 2023 natures'!Y3</f>
        <v>51.262891373801914</v>
      </c>
      <c r="Z25" s="13">
        <f>'4.1 Comptes 2023 natures'!Z25/'4.1 Comptes 2023 natures'!Z3</f>
        <v>21.343526187576128</v>
      </c>
      <c r="AA25" s="13">
        <f>'4.1 Comptes 2023 natures'!AA25/'4.1 Comptes 2023 natures'!AA3</f>
        <v>12.23765100671141</v>
      </c>
      <c r="AB25" s="13">
        <f>'4.1 Comptes 2023 natures'!AB25/'4.1 Comptes 2023 natures'!AB3</f>
        <v>-107.5982156862745</v>
      </c>
      <c r="AC25" s="13">
        <f>'4.1 Comptes 2023 natures'!AC25/'4.1 Comptes 2023 natures'!AC3</f>
        <v>13.061521126760564</v>
      </c>
      <c r="AD25" s="13">
        <f>'4.1 Comptes 2023 natures'!AD25/'4.1 Comptes 2023 natures'!AD3</f>
        <v>13.206872791519435</v>
      </c>
      <c r="AE25" s="13">
        <f>'4.1 Comptes 2023 natures'!AE25/'4.1 Comptes 2023 natures'!AE3</f>
        <v>122.44679133858268</v>
      </c>
      <c r="AF25" s="13">
        <f>'4.1 Comptes 2023 natures'!AF25/'4.1 Comptes 2023 natures'!AF3</f>
        <v>34.377470618293309</v>
      </c>
      <c r="AG25" s="13">
        <f>'4.1 Comptes 2023 natures'!AG25/'4.1 Comptes 2023 natures'!AG3</f>
        <v>30.594478193146415</v>
      </c>
      <c r="AH25" s="13">
        <f>'4.1 Comptes 2023 natures'!AH25/'4.1 Comptes 2023 natures'!AH3</f>
        <v>0.69535564853556486</v>
      </c>
      <c r="AI25" s="13">
        <f>'4.1 Comptes 2023 natures'!AI25/'4.1 Comptes 2023 natures'!AI3</f>
        <v>27.335919999999998</v>
      </c>
      <c r="AJ25" s="13">
        <f>'4.1 Comptes 2023 natures'!AJ25/'4.1 Comptes 2023 natures'!AJ3</f>
        <v>72.05683796539067</v>
      </c>
      <c r="AK25" s="13">
        <f>'4.1 Comptes 2023 natures'!AK25/'4.1 Comptes 2023 natures'!AK3</f>
        <v>28.571569664902999</v>
      </c>
      <c r="AL25" s="13">
        <f>'4.1 Comptes 2023 natures'!AL25/'4.1 Comptes 2023 natures'!AL3</f>
        <v>54.222418952618455</v>
      </c>
      <c r="AM25" s="13">
        <f>'4.1 Comptes 2023 natures'!AM25/'4.1 Comptes 2023 natures'!AM3</f>
        <v>229.87857142857143</v>
      </c>
      <c r="AN25" s="13">
        <f>'4.1 Comptes 2023 natures'!AN25/'4.1 Comptes 2023 natures'!AN3</f>
        <v>66.637369769427835</v>
      </c>
      <c r="AO25" s="13">
        <f>'4.1 Comptes 2023 natures'!AO25/'4.1 Comptes 2023 natures'!AO3</f>
        <v>68.695541984732827</v>
      </c>
      <c r="AP25" s="13">
        <f>'4.1 Comptes 2023 natures'!AP25/'4.1 Comptes 2023 natures'!AP3</f>
        <v>31.108034865293181</v>
      </c>
      <c r="AQ25" s="13">
        <f>'4.1 Comptes 2023 natures'!AQ25/'4.1 Comptes 2023 natures'!AQ3</f>
        <v>40.919312210200921</v>
      </c>
      <c r="AR25" s="13">
        <f>'4.1 Comptes 2023 natures'!AR25/'4.1 Comptes 2023 natures'!AR3</f>
        <v>47.458266296809988</v>
      </c>
      <c r="AS25" s="13">
        <f>'4.1 Comptes 2023 natures'!AS25/'4.1 Comptes 2023 natures'!AS3</f>
        <v>43.729358490566042</v>
      </c>
      <c r="AT25" s="13">
        <f>'4.1 Comptes 2023 natures'!AT25/'4.1 Comptes 2023 natures'!AT3</f>
        <v>-569.70694267515933</v>
      </c>
      <c r="AU25" s="13">
        <f>'4.1 Comptes 2023 natures'!AU25/'4.1 Comptes 2023 natures'!AU3</f>
        <v>2.9273379535262944</v>
      </c>
      <c r="AV25" s="13">
        <f>'4.1 Comptes 2023 natures'!AV25/'4.1 Comptes 2023 natures'!AV3</f>
        <v>18.906485788113695</v>
      </c>
      <c r="AW25" s="13">
        <f>'4.1 Comptes 2023 natures'!AW25/'4.1 Comptes 2023 natures'!AW3</f>
        <v>18.289944903581269</v>
      </c>
      <c r="AX25" s="13">
        <f>'4.1 Comptes 2023 natures'!AX25/'4.1 Comptes 2023 natures'!AX3</f>
        <v>68.617861445783134</v>
      </c>
      <c r="AY25" s="13">
        <f>'4.1 Comptes 2023 natures'!AY25/'4.1 Comptes 2023 natures'!AY3</f>
        <v>33.425373406193074</v>
      </c>
      <c r="AZ25" s="13">
        <f>'4.1 Comptes 2023 natures'!AZ25/'4.1 Comptes 2023 natures'!AZ3</f>
        <v>53.587611548556431</v>
      </c>
      <c r="BA25" s="13">
        <f>'4.1 Comptes 2023 natures'!BA25/'4.1 Comptes 2023 natures'!BA3</f>
        <v>12.360245979186377</v>
      </c>
      <c r="BB25" s="13">
        <f>'4.1 Comptes 2023 natures'!BB25/'4.1 Comptes 2023 natures'!BB3</f>
        <v>49.719595515830932</v>
      </c>
      <c r="BC25" s="13">
        <f>'4.1 Comptes 2023 natures'!BC25/'4.1 Comptes 2023 natures'!BC3</f>
        <v>144.05336380255943</v>
      </c>
      <c r="BD25" s="13">
        <f>'4.1 Comptes 2023 natures'!BD25/'4.1 Comptes 2023 natures'!BD3</f>
        <v>33.662143987766264</v>
      </c>
      <c r="BE25" s="13">
        <f>'4.1 Comptes 2023 natures'!BE25/'4.1 Comptes 2023 natures'!BE3</f>
        <v>33.119425365607668</v>
      </c>
      <c r="BF25" s="13">
        <f>'4.1 Comptes 2023 natures'!BF25/'4.1 Comptes 2023 natures'!BF3</f>
        <v>27.640972367296555</v>
      </c>
      <c r="BG25" s="13">
        <f>'4.1 Comptes 2023 natures'!BG25/'4.1 Comptes 2023 natures'!BG3</f>
        <v>37.149157121156136</v>
      </c>
    </row>
    <row r="26" spans="2:59" x14ac:dyDescent="0.2">
      <c r="C26" s="8">
        <v>319</v>
      </c>
      <c r="D26" s="8" t="s">
        <v>93</v>
      </c>
      <c r="E26" s="13">
        <f>'4.1 Comptes 2023 natures'!E26/'4.1 Comptes 2023 natures'!E3</f>
        <v>1.4864724245577523</v>
      </c>
      <c r="F26" s="13">
        <f>'4.1 Comptes 2023 natures'!F26/'4.1 Comptes 2023 natures'!F3</f>
        <v>0.38314176245210729</v>
      </c>
      <c r="G26" s="13">
        <f>'4.1 Comptes 2023 natures'!G26/'4.1 Comptes 2023 natures'!G3</f>
        <v>9.4959514170040489</v>
      </c>
      <c r="H26" s="13">
        <f>'4.1 Comptes 2023 natures'!H26/'4.1 Comptes 2023 natures'!H3</f>
        <v>11.333370786516856</v>
      </c>
      <c r="I26" s="13">
        <f>'4.1 Comptes 2023 natures'!I26/'4.1 Comptes 2023 natures'!I3</f>
        <v>9.6220234524134174</v>
      </c>
      <c r="J26" s="13">
        <f>'4.1 Comptes 2023 natures'!J26/'4.1 Comptes 2023 natures'!J3</f>
        <v>7.9306684334511184</v>
      </c>
      <c r="K26" s="13">
        <f>'4.1 Comptes 2023 natures'!K26/'4.1 Comptes 2023 natures'!K3</f>
        <v>7.3852019089574155</v>
      </c>
      <c r="L26" s="13">
        <f>'4.1 Comptes 2023 natures'!L26/'4.1 Comptes 2023 natures'!L3</f>
        <v>12.003175288484183</v>
      </c>
      <c r="M26" s="13">
        <f>'4.1 Comptes 2023 natures'!M26/'4.1 Comptes 2023 natures'!M3</f>
        <v>41.719351311953353</v>
      </c>
      <c r="N26" s="13">
        <f>'4.1 Comptes 2023 natures'!N26/'4.1 Comptes 2023 natures'!N3</f>
        <v>7.6923076923076925</v>
      </c>
      <c r="O26" s="13">
        <f>'4.1 Comptes 2023 natures'!O26/'4.1 Comptes 2023 natures'!O3</f>
        <v>2.6096441184460746</v>
      </c>
      <c r="P26" s="13">
        <f>'4.1 Comptes 2023 natures'!P26/'4.1 Comptes 2023 natures'!P3</f>
        <v>2.0336448598130841</v>
      </c>
      <c r="Q26" s="13">
        <f>'4.1 Comptes 2023 natures'!Q26/'4.1 Comptes 2023 natures'!Q3</f>
        <v>19.983035714285712</v>
      </c>
      <c r="R26" s="13">
        <f>'4.1 Comptes 2023 natures'!R26/'4.1 Comptes 2023 natures'!R3</f>
        <v>0</v>
      </c>
      <c r="S26" s="13">
        <f>'4.1 Comptes 2023 natures'!S26/'4.1 Comptes 2023 natures'!S3</f>
        <v>4.1616045845272209</v>
      </c>
      <c r="T26" s="13">
        <f>'4.1 Comptes 2023 natures'!T26/'4.1 Comptes 2023 natures'!T3</f>
        <v>3.134924965893588</v>
      </c>
      <c r="U26" s="13">
        <f>'4.1 Comptes 2023 natures'!U26/'4.1 Comptes 2023 natures'!U3</f>
        <v>6.9148351648351651</v>
      </c>
      <c r="V26" s="13">
        <f>'4.1 Comptes 2023 natures'!V26/'4.1 Comptes 2023 natures'!V3</f>
        <v>3.7679814385150814</v>
      </c>
      <c r="W26" s="13">
        <f>'4.1 Comptes 2023 natures'!W26/'4.1 Comptes 2023 natures'!W3</f>
        <v>1.4341388803915569</v>
      </c>
      <c r="X26" s="13">
        <f>'4.1 Comptes 2023 natures'!X26/'4.1 Comptes 2023 natures'!X3</f>
        <v>8.442622950819672</v>
      </c>
      <c r="Y26" s="13">
        <f>'4.1 Comptes 2023 natures'!Y26/'4.1 Comptes 2023 natures'!Y3</f>
        <v>16.668730031948883</v>
      </c>
      <c r="Z26" s="13">
        <f>'4.1 Comptes 2023 natures'!Z26/'4.1 Comptes 2023 natures'!Z3</f>
        <v>10.520462850182703</v>
      </c>
      <c r="AA26" s="13">
        <f>'4.1 Comptes 2023 natures'!AA26/'4.1 Comptes 2023 natures'!AA3</f>
        <v>58.397315436241612</v>
      </c>
      <c r="AB26" s="13">
        <f>'4.1 Comptes 2023 natures'!AB26/'4.1 Comptes 2023 natures'!AB3</f>
        <v>4.2775490196078438</v>
      </c>
      <c r="AC26" s="13">
        <f>'4.1 Comptes 2023 natures'!AC26/'4.1 Comptes 2023 natures'!AC3</f>
        <v>23.359436619718309</v>
      </c>
      <c r="AD26" s="13">
        <f>'4.1 Comptes 2023 natures'!AD26/'4.1 Comptes 2023 natures'!AD3</f>
        <v>3.4925795053003532</v>
      </c>
      <c r="AE26" s="13">
        <f>'4.1 Comptes 2023 natures'!AE26/'4.1 Comptes 2023 natures'!AE3</f>
        <v>1.5838582677165354</v>
      </c>
      <c r="AF26" s="13">
        <f>'4.1 Comptes 2023 natures'!AF26/'4.1 Comptes 2023 natures'!AF3</f>
        <v>16.817935615738374</v>
      </c>
      <c r="AG26" s="13">
        <f>'4.1 Comptes 2023 natures'!AG26/'4.1 Comptes 2023 natures'!AG3</f>
        <v>5.0294392523364486</v>
      </c>
      <c r="AH26" s="13">
        <f>'4.1 Comptes 2023 natures'!AH26/'4.1 Comptes 2023 natures'!AH3</f>
        <v>7.4299163179916317</v>
      </c>
      <c r="AI26" s="13">
        <f>'4.1 Comptes 2023 natures'!AI26/'4.1 Comptes 2023 natures'!AI3</f>
        <v>19.5016</v>
      </c>
      <c r="AJ26" s="13">
        <f>'4.1 Comptes 2023 natures'!AJ26/'4.1 Comptes 2023 natures'!AJ3</f>
        <v>6.0640797063450451</v>
      </c>
      <c r="AK26" s="13">
        <f>'4.1 Comptes 2023 natures'!AK26/'4.1 Comptes 2023 natures'!AK3</f>
        <v>15.157583774250442</v>
      </c>
      <c r="AL26" s="13">
        <f>'4.1 Comptes 2023 natures'!AL26/'4.1 Comptes 2023 natures'!AL3</f>
        <v>0</v>
      </c>
      <c r="AM26" s="13">
        <f>'4.1 Comptes 2023 natures'!AM26/'4.1 Comptes 2023 natures'!AM3</f>
        <v>0</v>
      </c>
      <c r="AN26" s="13">
        <f>'4.1 Comptes 2023 natures'!AN26/'4.1 Comptes 2023 natures'!AN3</f>
        <v>17.94534585824082</v>
      </c>
      <c r="AO26" s="13">
        <f>'4.1 Comptes 2023 natures'!AO26/'4.1 Comptes 2023 natures'!AO3</f>
        <v>1.6582442748091604</v>
      </c>
      <c r="AP26" s="13">
        <f>'4.1 Comptes 2023 natures'!AP26/'4.1 Comptes 2023 natures'!AP3</f>
        <v>2.3245641838351823</v>
      </c>
      <c r="AQ26" s="13">
        <f>'4.1 Comptes 2023 natures'!AQ26/'4.1 Comptes 2023 natures'!AQ3</f>
        <v>17.058925811437405</v>
      </c>
      <c r="AR26" s="13">
        <f>'4.1 Comptes 2023 natures'!AR26/'4.1 Comptes 2023 natures'!AR3</f>
        <v>59.657628294036066</v>
      </c>
      <c r="AS26" s="13">
        <f>'4.1 Comptes 2023 natures'!AS26/'4.1 Comptes 2023 natures'!AS3</f>
        <v>4.3558018867924524</v>
      </c>
      <c r="AT26" s="13">
        <f>'4.1 Comptes 2023 natures'!AT26/'4.1 Comptes 2023 natures'!AT3</f>
        <v>12.688694267515924</v>
      </c>
      <c r="AU26" s="13">
        <f>'4.1 Comptes 2023 natures'!AU26/'4.1 Comptes 2023 natures'!AU3</f>
        <v>8.5609457806767217</v>
      </c>
      <c r="AV26" s="13">
        <f>'4.1 Comptes 2023 natures'!AV26/'4.1 Comptes 2023 natures'!AV3</f>
        <v>4.5930749354005167</v>
      </c>
      <c r="AW26" s="13">
        <f>'4.1 Comptes 2023 natures'!AW26/'4.1 Comptes 2023 natures'!AW3</f>
        <v>3.1735537190082646</v>
      </c>
      <c r="AX26" s="13">
        <f>'4.1 Comptes 2023 natures'!AX26/'4.1 Comptes 2023 natures'!AX3</f>
        <v>0</v>
      </c>
      <c r="AY26" s="13">
        <f>'4.1 Comptes 2023 natures'!AY26/'4.1 Comptes 2023 natures'!AY3</f>
        <v>2.1123254401942928</v>
      </c>
      <c r="AZ26" s="13">
        <f>'4.1 Comptes 2023 natures'!AZ26/'4.1 Comptes 2023 natures'!AZ3</f>
        <v>0</v>
      </c>
      <c r="BA26" s="13">
        <f>'4.1 Comptes 2023 natures'!BA26/'4.1 Comptes 2023 natures'!BA3</f>
        <v>10.181788079470198</v>
      </c>
      <c r="BB26" s="13">
        <f>'4.1 Comptes 2023 natures'!BB26/'4.1 Comptes 2023 natures'!BB3</f>
        <v>24.915094682623845</v>
      </c>
      <c r="BC26" s="13">
        <f>'4.1 Comptes 2023 natures'!BC26/'4.1 Comptes 2023 natures'!BC3</f>
        <v>8.1178244972577698</v>
      </c>
      <c r="BD26" s="13">
        <f>'4.1 Comptes 2023 natures'!BD26/'4.1 Comptes 2023 natures'!BD3</f>
        <v>10.664328754627892</v>
      </c>
      <c r="BE26" s="13">
        <f>'4.1 Comptes 2023 natures'!BE26/'4.1 Comptes 2023 natures'!BE3</f>
        <v>8.5509984871406974</v>
      </c>
      <c r="BF26" s="13">
        <f>'4.1 Comptes 2023 natures'!BF26/'4.1 Comptes 2023 natures'!BF3</f>
        <v>11.490831829835724</v>
      </c>
      <c r="BG26" s="13">
        <f>'4.1 Comptes 2023 natures'!BG26/'4.1 Comptes 2023 natures'!BG3</f>
        <v>13.748073654390936</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283.00696149843913</v>
      </c>
      <c r="F28" s="76">
        <f t="shared" ref="F28:BG28" si="3">F29+F30</f>
        <v>341.51340996168585</v>
      </c>
      <c r="G28" s="76">
        <f t="shared" si="3"/>
        <v>158.93755060728742</v>
      </c>
      <c r="H28" s="76">
        <f t="shared" si="3"/>
        <v>305.28741573033705</v>
      </c>
      <c r="I28" s="76">
        <f t="shared" si="3"/>
        <v>274.62473411508046</v>
      </c>
      <c r="J28" s="76">
        <f t="shared" si="3"/>
        <v>302.45002355712603</v>
      </c>
      <c r="K28" s="76">
        <f t="shared" si="3"/>
        <v>214.56986049926576</v>
      </c>
      <c r="L28" s="76">
        <f t="shared" si="3"/>
        <v>500.64676348221991</v>
      </c>
      <c r="M28" s="76">
        <f t="shared" si="3"/>
        <v>297.6851676384839</v>
      </c>
      <c r="N28" s="76">
        <f t="shared" si="3"/>
        <v>521.75401709401706</v>
      </c>
      <c r="O28" s="76">
        <f t="shared" si="3"/>
        <v>203.81081907090464</v>
      </c>
      <c r="P28" s="76">
        <f t="shared" si="3"/>
        <v>241.0136448598131</v>
      </c>
      <c r="Q28" s="76">
        <f t="shared" si="3"/>
        <v>140.48214285714286</v>
      </c>
      <c r="R28" s="76">
        <f t="shared" si="3"/>
        <v>159.33192857142859</v>
      </c>
      <c r="S28" s="76">
        <f t="shared" si="3"/>
        <v>218.02507163323781</v>
      </c>
      <c r="T28" s="76">
        <f t="shared" si="3"/>
        <v>192.3955525238745</v>
      </c>
      <c r="U28" s="76">
        <f t="shared" si="3"/>
        <v>148.36377289377288</v>
      </c>
      <c r="V28" s="76">
        <f t="shared" si="3"/>
        <v>305.64160092807424</v>
      </c>
      <c r="W28" s="76">
        <f t="shared" si="3"/>
        <v>295.95994493728972</v>
      </c>
      <c r="X28" s="76">
        <f t="shared" si="3"/>
        <v>272.04590163934427</v>
      </c>
      <c r="Y28" s="76">
        <f t="shared" si="3"/>
        <v>250.22356230031951</v>
      </c>
      <c r="Z28" s="76">
        <f t="shared" si="3"/>
        <v>311.24180876979295</v>
      </c>
      <c r="AA28" s="76">
        <f t="shared" si="3"/>
        <v>92.404496644295307</v>
      </c>
      <c r="AB28" s="76">
        <f t="shared" si="3"/>
        <v>198.56033333333335</v>
      </c>
      <c r="AC28" s="76">
        <f t="shared" si="3"/>
        <v>484.28608450704223</v>
      </c>
      <c r="AD28" s="76">
        <f t="shared" si="3"/>
        <v>289.53886925795052</v>
      </c>
      <c r="AE28" s="76">
        <f t="shared" si="3"/>
        <v>209.50120078740159</v>
      </c>
      <c r="AF28" s="76">
        <f t="shared" si="3"/>
        <v>260.92102708226878</v>
      </c>
      <c r="AG28" s="76">
        <f t="shared" si="3"/>
        <v>331.75188862928348</v>
      </c>
      <c r="AH28" s="76">
        <f t="shared" si="3"/>
        <v>300.45564853556488</v>
      </c>
      <c r="AI28" s="76">
        <f t="shared" si="3"/>
        <v>121.34912</v>
      </c>
      <c r="AJ28" s="76">
        <f t="shared" si="3"/>
        <v>229.86701625589933</v>
      </c>
      <c r="AK28" s="76">
        <f t="shared" si="3"/>
        <v>312.05008818342151</v>
      </c>
      <c r="AL28" s="76">
        <f t="shared" si="3"/>
        <v>252.33998337489609</v>
      </c>
      <c r="AM28" s="76">
        <f t="shared" si="3"/>
        <v>383.17857142857144</v>
      </c>
      <c r="AN28" s="76">
        <f t="shared" si="3"/>
        <v>549.80791631084537</v>
      </c>
      <c r="AO28" s="76">
        <f t="shared" si="3"/>
        <v>167.02290076335879</v>
      </c>
      <c r="AP28" s="76">
        <f t="shared" si="3"/>
        <v>707.9898732171157</v>
      </c>
      <c r="AQ28" s="76">
        <f t="shared" si="3"/>
        <v>163.69741112828439</v>
      </c>
      <c r="AR28" s="76">
        <f t="shared" si="3"/>
        <v>215.88072122052705</v>
      </c>
      <c r="AS28" s="76">
        <f t="shared" si="3"/>
        <v>239.74150943396228</v>
      </c>
      <c r="AT28" s="76">
        <f t="shared" si="3"/>
        <v>224.85270700636943</v>
      </c>
      <c r="AU28" s="76">
        <f t="shared" si="3"/>
        <v>305.18597635548309</v>
      </c>
      <c r="AV28" s="76">
        <f t="shared" si="3"/>
        <v>153.6976227390181</v>
      </c>
      <c r="AW28" s="76">
        <f t="shared" si="3"/>
        <v>216.89338842975206</v>
      </c>
      <c r="AX28" s="76">
        <f t="shared" si="3"/>
        <v>520.97891566265059</v>
      </c>
      <c r="AY28" s="76">
        <f t="shared" si="3"/>
        <v>350.31272009714633</v>
      </c>
      <c r="AZ28" s="76">
        <f t="shared" si="3"/>
        <v>262.11272965879266</v>
      </c>
      <c r="BA28" s="76">
        <f t="shared" si="3"/>
        <v>412.05993377483446</v>
      </c>
      <c r="BB28" s="76">
        <f t="shared" si="3"/>
        <v>489.7005211331616</v>
      </c>
      <c r="BC28" s="76">
        <f t="shared" si="3"/>
        <v>168.73857404021939</v>
      </c>
      <c r="BD28" s="76">
        <f t="shared" si="3"/>
        <v>332.45174585501962</v>
      </c>
      <c r="BE28" s="76">
        <f t="shared" si="3"/>
        <v>330.56566212808883</v>
      </c>
      <c r="BF28" s="76">
        <f t="shared" si="3"/>
        <v>293.0428791187922</v>
      </c>
      <c r="BG28" s="76">
        <f t="shared" si="3"/>
        <v>352.56164675452641</v>
      </c>
    </row>
    <row r="29" spans="2:59" x14ac:dyDescent="0.2">
      <c r="C29" s="8">
        <v>330</v>
      </c>
      <c r="D29" s="8" t="s">
        <v>96</v>
      </c>
      <c r="E29" s="13">
        <f>'4.1 Comptes 2023 natures'!E29/'4.1 Comptes 2023 natures'!E3</f>
        <v>283.00696149843913</v>
      </c>
      <c r="F29" s="13">
        <f>'4.1 Comptes 2023 natures'!F29/'4.1 Comptes 2023 natures'!F3</f>
        <v>294.46360153256705</v>
      </c>
      <c r="G29" s="13">
        <f>'4.1 Comptes 2023 natures'!G29/'4.1 Comptes 2023 natures'!G3</f>
        <v>155.40212550607285</v>
      </c>
      <c r="H29" s="13">
        <f>'4.1 Comptes 2023 natures'!H29/'4.1 Comptes 2023 natures'!H3</f>
        <v>305.28741573033705</v>
      </c>
      <c r="I29" s="13">
        <f>'4.1 Comptes 2023 natures'!I29/'4.1 Comptes 2023 natures'!I3</f>
        <v>274.62473411508046</v>
      </c>
      <c r="J29" s="13">
        <f>'4.1 Comptes 2023 natures'!J29/'4.1 Comptes 2023 natures'!J3</f>
        <v>294.50562131919907</v>
      </c>
      <c r="K29" s="13">
        <f>'4.1 Comptes 2023 natures'!K29/'4.1 Comptes 2023 natures'!K3</f>
        <v>213.84016152716592</v>
      </c>
      <c r="L29" s="13">
        <f>'4.1 Comptes 2023 natures'!L29/'4.1 Comptes 2023 natures'!L3</f>
        <v>491.4581796059345</v>
      </c>
      <c r="M29" s="13">
        <f>'4.1 Comptes 2023 natures'!M29/'4.1 Comptes 2023 natures'!M3</f>
        <v>289.06271865889209</v>
      </c>
      <c r="N29" s="13">
        <f>'4.1 Comptes 2023 natures'!N29/'4.1 Comptes 2023 natures'!N3</f>
        <v>521.75401709401706</v>
      </c>
      <c r="O29" s="13">
        <f>'4.1 Comptes 2023 natures'!O29/'4.1 Comptes 2023 natures'!O3</f>
        <v>195.17509508285792</v>
      </c>
      <c r="P29" s="13">
        <f>'4.1 Comptes 2023 natures'!P29/'4.1 Comptes 2023 natures'!P3</f>
        <v>241.0136448598131</v>
      </c>
      <c r="Q29" s="13">
        <f>'4.1 Comptes 2023 natures'!Q29/'4.1 Comptes 2023 natures'!Q3</f>
        <v>140.48214285714286</v>
      </c>
      <c r="R29" s="13">
        <f>'4.1 Comptes 2023 natures'!R29/'4.1 Comptes 2023 natures'!R3</f>
        <v>159.33192857142859</v>
      </c>
      <c r="S29" s="13">
        <f>'4.1 Comptes 2023 natures'!S29/'4.1 Comptes 2023 natures'!S3</f>
        <v>218.02507163323781</v>
      </c>
      <c r="T29" s="13">
        <f>'4.1 Comptes 2023 natures'!T29/'4.1 Comptes 2023 natures'!T3</f>
        <v>184.69817189631652</v>
      </c>
      <c r="U29" s="13">
        <f>'4.1 Comptes 2023 natures'!U29/'4.1 Comptes 2023 natures'!U3</f>
        <v>148.36377289377288</v>
      </c>
      <c r="V29" s="13">
        <f>'4.1 Comptes 2023 natures'!V29/'4.1 Comptes 2023 natures'!V3</f>
        <v>259.34751740139211</v>
      </c>
      <c r="W29" s="13">
        <f>'4.1 Comptes 2023 natures'!W29/'4.1 Comptes 2023 natures'!W3</f>
        <v>286.59449066992966</v>
      </c>
      <c r="X29" s="13">
        <f>'4.1 Comptes 2023 natures'!X29/'4.1 Comptes 2023 natures'!X3</f>
        <v>257.29180327868852</v>
      </c>
      <c r="Y29" s="13">
        <f>'4.1 Comptes 2023 natures'!Y29/'4.1 Comptes 2023 natures'!Y3</f>
        <v>249.74432907348245</v>
      </c>
      <c r="Z29" s="13">
        <f>'4.1 Comptes 2023 natures'!Z29/'4.1 Comptes 2023 natures'!Z3</f>
        <v>311.24180876979295</v>
      </c>
      <c r="AA29" s="13">
        <f>'4.1 Comptes 2023 natures'!AA29/'4.1 Comptes 2023 natures'!AA3</f>
        <v>92.404496644295307</v>
      </c>
      <c r="AB29" s="13">
        <f>'4.1 Comptes 2023 natures'!AB29/'4.1 Comptes 2023 natures'!AB3</f>
        <v>179.00323529411764</v>
      </c>
      <c r="AC29" s="13">
        <f>'4.1 Comptes 2023 natures'!AC29/'4.1 Comptes 2023 natures'!AC3</f>
        <v>484.28608450704223</v>
      </c>
      <c r="AD29" s="13">
        <f>'4.1 Comptes 2023 natures'!AD29/'4.1 Comptes 2023 natures'!AD3</f>
        <v>289.53886925795052</v>
      </c>
      <c r="AE29" s="13">
        <f>'4.1 Comptes 2023 natures'!AE29/'4.1 Comptes 2023 natures'!AE3</f>
        <v>209.50120078740159</v>
      </c>
      <c r="AF29" s="13">
        <f>'4.1 Comptes 2023 natures'!AF29/'4.1 Comptes 2023 natures'!AF3</f>
        <v>260.92102708226878</v>
      </c>
      <c r="AG29" s="13">
        <f>'4.1 Comptes 2023 natures'!AG29/'4.1 Comptes 2023 natures'!AG3</f>
        <v>314.09495716510901</v>
      </c>
      <c r="AH29" s="13">
        <f>'4.1 Comptes 2023 natures'!AH29/'4.1 Comptes 2023 natures'!AH3</f>
        <v>276.39707112970711</v>
      </c>
      <c r="AI29" s="13">
        <f>'4.1 Comptes 2023 natures'!AI29/'4.1 Comptes 2023 natures'!AI3</f>
        <v>121.34912</v>
      </c>
      <c r="AJ29" s="13">
        <f>'4.1 Comptes 2023 natures'!AJ29/'4.1 Comptes 2023 natures'!AJ3</f>
        <v>229.86701625589933</v>
      </c>
      <c r="AK29" s="13">
        <f>'4.1 Comptes 2023 natures'!AK29/'4.1 Comptes 2023 natures'!AK3</f>
        <v>312.05008818342151</v>
      </c>
      <c r="AL29" s="13">
        <f>'4.1 Comptes 2023 natures'!AL29/'4.1 Comptes 2023 natures'!AL3</f>
        <v>235.92269326683291</v>
      </c>
      <c r="AM29" s="13">
        <f>'4.1 Comptes 2023 natures'!AM29/'4.1 Comptes 2023 natures'!AM3</f>
        <v>383.17857142857144</v>
      </c>
      <c r="AN29" s="13">
        <f>'4.1 Comptes 2023 natures'!AN29/'4.1 Comptes 2023 natures'!AN3</f>
        <v>540.92661827497864</v>
      </c>
      <c r="AO29" s="13">
        <f>'4.1 Comptes 2023 natures'!AO29/'4.1 Comptes 2023 natures'!AO3</f>
        <v>167.02290076335879</v>
      </c>
      <c r="AP29" s="13">
        <f>'4.1 Comptes 2023 natures'!AP29/'4.1 Comptes 2023 natures'!AP3</f>
        <v>707.9898732171157</v>
      </c>
      <c r="AQ29" s="13">
        <f>'4.1 Comptes 2023 natures'!AQ29/'4.1 Comptes 2023 natures'!AQ3</f>
        <v>136.30173879443586</v>
      </c>
      <c r="AR29" s="13">
        <f>'4.1 Comptes 2023 natures'!AR29/'4.1 Comptes 2023 natures'!AR3</f>
        <v>215.88072122052705</v>
      </c>
      <c r="AS29" s="13">
        <f>'4.1 Comptes 2023 natures'!AS29/'4.1 Comptes 2023 natures'!AS3</f>
        <v>238.79811320754717</v>
      </c>
      <c r="AT29" s="13">
        <f>'4.1 Comptes 2023 natures'!AT29/'4.1 Comptes 2023 natures'!AT3</f>
        <v>217.77070063694268</v>
      </c>
      <c r="AU29" s="13">
        <f>'4.1 Comptes 2023 natures'!AU29/'4.1 Comptes 2023 natures'!AU3</f>
        <v>295.58664900122301</v>
      </c>
      <c r="AV29" s="13">
        <f>'4.1 Comptes 2023 natures'!AV29/'4.1 Comptes 2023 natures'!AV3</f>
        <v>153.6976227390181</v>
      </c>
      <c r="AW29" s="13">
        <f>'4.1 Comptes 2023 natures'!AW29/'4.1 Comptes 2023 natures'!AW3</f>
        <v>216.89338842975206</v>
      </c>
      <c r="AX29" s="13">
        <f>'4.1 Comptes 2023 natures'!AX29/'4.1 Comptes 2023 natures'!AX3</f>
        <v>516.46084337349396</v>
      </c>
      <c r="AY29" s="13">
        <f>'4.1 Comptes 2023 natures'!AY29/'4.1 Comptes 2023 natures'!AY3</f>
        <v>323.93142076502733</v>
      </c>
      <c r="AZ29" s="13">
        <f>'4.1 Comptes 2023 natures'!AZ29/'4.1 Comptes 2023 natures'!AZ3</f>
        <v>259.59304461942259</v>
      </c>
      <c r="BA29" s="13">
        <f>'4.1 Comptes 2023 natures'!BA29/'4.1 Comptes 2023 natures'!BA3</f>
        <v>364.29791863765377</v>
      </c>
      <c r="BB29" s="13">
        <f>'4.1 Comptes 2023 natures'!BB29/'4.1 Comptes 2023 natures'!BB3</f>
        <v>472.39722011816389</v>
      </c>
      <c r="BC29" s="13">
        <f>'4.1 Comptes 2023 natures'!BC29/'4.1 Comptes 2023 natures'!BC3</f>
        <v>168.73857404021939</v>
      </c>
      <c r="BD29" s="13">
        <f>'4.1 Comptes 2023 natures'!BD29/'4.1 Comptes 2023 natures'!BD3</f>
        <v>323.58745546493537</v>
      </c>
      <c r="BE29" s="13">
        <f>'4.1 Comptes 2023 natures'!BE29/'4.1 Comptes 2023 natures'!BE3</f>
        <v>323.21156328794763</v>
      </c>
      <c r="BF29" s="13">
        <f>'4.1 Comptes 2023 natures'!BF29/'4.1 Comptes 2023 natures'!BF3</f>
        <v>286.75979868958319</v>
      </c>
      <c r="BG29" s="13">
        <f>'4.1 Comptes 2023 natures'!BG29/'4.1 Comptes 2023 natures'!BG3</f>
        <v>340.12232992568869</v>
      </c>
    </row>
    <row r="30" spans="2:59" x14ac:dyDescent="0.2">
      <c r="C30" s="8">
        <v>332</v>
      </c>
      <c r="D30" s="8" t="s">
        <v>95</v>
      </c>
      <c r="E30" s="13">
        <f>'4.1 Comptes 2023 natures'!E30/'4.1 Comptes 2023 natures'!E3</f>
        <v>0</v>
      </c>
      <c r="F30" s="13">
        <f>'4.1 Comptes 2023 natures'!F30/'4.1 Comptes 2023 natures'!F3</f>
        <v>47.049808429118777</v>
      </c>
      <c r="G30" s="13">
        <f>'4.1 Comptes 2023 natures'!G30/'4.1 Comptes 2023 natures'!G3</f>
        <v>3.535425101214575</v>
      </c>
      <c r="H30" s="13">
        <f>'4.1 Comptes 2023 natures'!H30/'4.1 Comptes 2023 natures'!H3</f>
        <v>0</v>
      </c>
      <c r="I30" s="13">
        <f>'4.1 Comptes 2023 natures'!I30/'4.1 Comptes 2023 natures'!I3</f>
        <v>0</v>
      </c>
      <c r="J30" s="13">
        <f>'4.1 Comptes 2023 natures'!J30/'4.1 Comptes 2023 natures'!J3</f>
        <v>7.9444022379269725</v>
      </c>
      <c r="K30" s="13">
        <f>'4.1 Comptes 2023 natures'!K30/'4.1 Comptes 2023 natures'!K3</f>
        <v>0.72969897209985313</v>
      </c>
      <c r="L30" s="13">
        <f>'4.1 Comptes 2023 natures'!L30/'4.1 Comptes 2023 natures'!L3</f>
        <v>9.1885838762854224</v>
      </c>
      <c r="M30" s="13">
        <f>'4.1 Comptes 2023 natures'!M30/'4.1 Comptes 2023 natures'!M3</f>
        <v>8.6224489795918373</v>
      </c>
      <c r="N30" s="13">
        <f>'4.1 Comptes 2023 natures'!N30/'4.1 Comptes 2023 natures'!N3</f>
        <v>0</v>
      </c>
      <c r="O30" s="13">
        <f>'4.1 Comptes 2023 natures'!O30/'4.1 Comptes 2023 natures'!O3</f>
        <v>8.6357239880467258</v>
      </c>
      <c r="P30" s="13">
        <f>'4.1 Comptes 2023 natures'!P30/'4.1 Comptes 2023 natures'!P3</f>
        <v>0</v>
      </c>
      <c r="Q30" s="13">
        <f>'4.1 Comptes 2023 natures'!Q30/'4.1 Comptes 2023 natures'!Q3</f>
        <v>0</v>
      </c>
      <c r="R30" s="13">
        <f>'4.1 Comptes 2023 natures'!R30/'4.1 Comptes 2023 natures'!R3</f>
        <v>0</v>
      </c>
      <c r="S30" s="13">
        <f>'4.1 Comptes 2023 natures'!S30/'4.1 Comptes 2023 natures'!S3</f>
        <v>0</v>
      </c>
      <c r="T30" s="13">
        <f>'4.1 Comptes 2023 natures'!T30/'4.1 Comptes 2023 natures'!T3</f>
        <v>7.6973806275579815</v>
      </c>
      <c r="U30" s="13">
        <f>'4.1 Comptes 2023 natures'!U30/'4.1 Comptes 2023 natures'!U3</f>
        <v>0</v>
      </c>
      <c r="V30" s="13">
        <f>'4.1 Comptes 2023 natures'!V30/'4.1 Comptes 2023 natures'!V3</f>
        <v>46.294083526682137</v>
      </c>
      <c r="W30" s="13">
        <f>'4.1 Comptes 2023 natures'!W30/'4.1 Comptes 2023 natures'!W3</f>
        <v>9.3654542673600485</v>
      </c>
      <c r="X30" s="13">
        <f>'4.1 Comptes 2023 natures'!X30/'4.1 Comptes 2023 natures'!X3</f>
        <v>14.754098360655737</v>
      </c>
      <c r="Y30" s="13">
        <f>'4.1 Comptes 2023 natures'!Y30/'4.1 Comptes 2023 natures'!Y3</f>
        <v>0.47923322683706071</v>
      </c>
      <c r="Z30" s="13">
        <f>'4.1 Comptes 2023 natures'!Z30/'4.1 Comptes 2023 natures'!Z3</f>
        <v>0</v>
      </c>
      <c r="AA30" s="13">
        <f>'4.1 Comptes 2023 natures'!AA30/'4.1 Comptes 2023 natures'!AA3</f>
        <v>0</v>
      </c>
      <c r="AB30" s="13">
        <f>'4.1 Comptes 2023 natures'!AB30/'4.1 Comptes 2023 natures'!AB3</f>
        <v>19.557098039215688</v>
      </c>
      <c r="AC30" s="13">
        <f>'4.1 Comptes 2023 natures'!AC30/'4.1 Comptes 2023 natures'!AC3</f>
        <v>0</v>
      </c>
      <c r="AD30" s="13">
        <f>'4.1 Comptes 2023 natures'!AD30/'4.1 Comptes 2023 natures'!AD3</f>
        <v>0</v>
      </c>
      <c r="AE30" s="13">
        <f>'4.1 Comptes 2023 natures'!AE30/'4.1 Comptes 2023 natures'!AE3</f>
        <v>0</v>
      </c>
      <c r="AF30" s="13">
        <f>'4.1 Comptes 2023 natures'!AF30/'4.1 Comptes 2023 natures'!AF3</f>
        <v>0</v>
      </c>
      <c r="AG30" s="13">
        <f>'4.1 Comptes 2023 natures'!AG30/'4.1 Comptes 2023 natures'!AG3</f>
        <v>17.656931464174455</v>
      </c>
      <c r="AH30" s="13">
        <f>'4.1 Comptes 2023 natures'!AH30/'4.1 Comptes 2023 natures'!AH3</f>
        <v>24.05857740585774</v>
      </c>
      <c r="AI30" s="13">
        <f>'4.1 Comptes 2023 natures'!AI30/'4.1 Comptes 2023 natures'!AI3</f>
        <v>0</v>
      </c>
      <c r="AJ30" s="13">
        <f>'4.1 Comptes 2023 natures'!AJ30/'4.1 Comptes 2023 natures'!AJ3</f>
        <v>0</v>
      </c>
      <c r="AK30" s="13">
        <f>'4.1 Comptes 2023 natures'!AK30/'4.1 Comptes 2023 natures'!AK3</f>
        <v>0</v>
      </c>
      <c r="AL30" s="13">
        <f>'4.1 Comptes 2023 natures'!AL30/'4.1 Comptes 2023 natures'!AL3</f>
        <v>16.417290108063174</v>
      </c>
      <c r="AM30" s="13">
        <f>'4.1 Comptes 2023 natures'!AM30/'4.1 Comptes 2023 natures'!AM3</f>
        <v>0</v>
      </c>
      <c r="AN30" s="13">
        <f>'4.1 Comptes 2023 natures'!AN30/'4.1 Comptes 2023 natures'!AN3</f>
        <v>8.8812980358667808</v>
      </c>
      <c r="AO30" s="13">
        <f>'4.1 Comptes 2023 natures'!AO30/'4.1 Comptes 2023 natures'!AO3</f>
        <v>0</v>
      </c>
      <c r="AP30" s="13">
        <f>'4.1 Comptes 2023 natures'!AP30/'4.1 Comptes 2023 natures'!AP3</f>
        <v>0</v>
      </c>
      <c r="AQ30" s="13">
        <f>'4.1 Comptes 2023 natures'!AQ30/'4.1 Comptes 2023 natures'!AQ3</f>
        <v>27.39567233384853</v>
      </c>
      <c r="AR30" s="13">
        <f>'4.1 Comptes 2023 natures'!AR30/'4.1 Comptes 2023 natures'!AR3</f>
        <v>0</v>
      </c>
      <c r="AS30" s="13">
        <f>'4.1 Comptes 2023 natures'!AS30/'4.1 Comptes 2023 natures'!AS3</f>
        <v>0.94339622641509435</v>
      </c>
      <c r="AT30" s="13">
        <f>'4.1 Comptes 2023 natures'!AT30/'4.1 Comptes 2023 natures'!AT3</f>
        <v>7.0820063694267512</v>
      </c>
      <c r="AU30" s="13">
        <f>'4.1 Comptes 2023 natures'!AU30/'4.1 Comptes 2023 natures'!AU3</f>
        <v>9.5993273542600903</v>
      </c>
      <c r="AV30" s="13">
        <f>'4.1 Comptes 2023 natures'!AV30/'4.1 Comptes 2023 natures'!AV3</f>
        <v>0</v>
      </c>
      <c r="AW30" s="13">
        <f>'4.1 Comptes 2023 natures'!AW30/'4.1 Comptes 2023 natures'!AW3</f>
        <v>0</v>
      </c>
      <c r="AX30" s="13">
        <f>'4.1 Comptes 2023 natures'!AX30/'4.1 Comptes 2023 natures'!AX3</f>
        <v>4.5180722891566267</v>
      </c>
      <c r="AY30" s="13">
        <f>'4.1 Comptes 2023 natures'!AY30/'4.1 Comptes 2023 natures'!AY3</f>
        <v>26.381299332119003</v>
      </c>
      <c r="AZ30" s="13">
        <f>'4.1 Comptes 2023 natures'!AZ30/'4.1 Comptes 2023 natures'!AZ3</f>
        <v>2.5196850393700787</v>
      </c>
      <c r="BA30" s="13">
        <f>'4.1 Comptes 2023 natures'!BA30/'4.1 Comptes 2023 natures'!BA3</f>
        <v>47.762015137180697</v>
      </c>
      <c r="BB30" s="13">
        <f>'4.1 Comptes 2023 natures'!BB30/'4.1 Comptes 2023 natures'!BB3</f>
        <v>17.303301014997729</v>
      </c>
      <c r="BC30" s="13">
        <f>'4.1 Comptes 2023 natures'!BC30/'4.1 Comptes 2023 natures'!BC3</f>
        <v>0</v>
      </c>
      <c r="BD30" s="13">
        <f>'4.1 Comptes 2023 natures'!BD30/'4.1 Comptes 2023 natures'!BD3</f>
        <v>8.8642903900842409</v>
      </c>
      <c r="BE30" s="13">
        <f>'4.1 Comptes 2023 natures'!BE30/'4.1 Comptes 2023 natures'!BE3</f>
        <v>7.3540988401411997</v>
      </c>
      <c r="BF30" s="13">
        <f>'4.1 Comptes 2023 natures'!BF30/'4.1 Comptes 2023 natures'!BF3</f>
        <v>6.2830804292090017</v>
      </c>
      <c r="BG30" s="13">
        <f>'4.1 Comptes 2023 natures'!BG30/'4.1 Comptes 2023 natures'!BG3</f>
        <v>12.439316828837704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163.00223725286159</v>
      </c>
      <c r="F32" s="76">
        <f t="shared" ref="F32:BG32" si="4">F33+F34+F35+F36+F37+F38</f>
        <v>158.64942528735634</v>
      </c>
      <c r="G32" s="76">
        <f t="shared" si="4"/>
        <v>145.02611336032388</v>
      </c>
      <c r="H32" s="76">
        <f t="shared" si="4"/>
        <v>168.73476404494383</v>
      </c>
      <c r="I32" s="76">
        <f t="shared" si="4"/>
        <v>127.05596945732206</v>
      </c>
      <c r="J32" s="76">
        <f t="shared" si="4"/>
        <v>107.16279151943463</v>
      </c>
      <c r="K32" s="76">
        <f t="shared" si="4"/>
        <v>82.755936123348036</v>
      </c>
      <c r="L32" s="76">
        <f t="shared" si="4"/>
        <v>246.29711594316666</v>
      </c>
      <c r="M32" s="76">
        <f t="shared" si="4"/>
        <v>52.080517492711365</v>
      </c>
      <c r="N32" s="76">
        <f t="shared" si="4"/>
        <v>57.353333333333332</v>
      </c>
      <c r="O32" s="76">
        <f t="shared" si="4"/>
        <v>71.006321651725074</v>
      </c>
      <c r="P32" s="76">
        <f t="shared" si="4"/>
        <v>85.579551401869153</v>
      </c>
      <c r="Q32" s="76">
        <f t="shared" si="4"/>
        <v>96.708928571428572</v>
      </c>
      <c r="R32" s="76">
        <f t="shared" si="4"/>
        <v>78.423571428571421</v>
      </c>
      <c r="S32" s="76">
        <f t="shared" si="4"/>
        <v>196.82928366762178</v>
      </c>
      <c r="T32" s="76">
        <f t="shared" si="4"/>
        <v>108.65054570259207</v>
      </c>
      <c r="U32" s="76">
        <f t="shared" si="4"/>
        <v>97.440915750915764</v>
      </c>
      <c r="V32" s="76">
        <f t="shared" si="4"/>
        <v>99.951415313225056</v>
      </c>
      <c r="W32" s="76">
        <f t="shared" si="4"/>
        <v>69.03243499541145</v>
      </c>
      <c r="X32" s="76">
        <f t="shared" si="4"/>
        <v>24.85367213114754</v>
      </c>
      <c r="Y32" s="76">
        <f t="shared" si="4"/>
        <v>108.7045127795527</v>
      </c>
      <c r="Z32" s="76">
        <f t="shared" si="4"/>
        <v>11.699116930572472</v>
      </c>
      <c r="AA32" s="76">
        <f t="shared" si="4"/>
        <v>112.87221476510068</v>
      </c>
      <c r="AB32" s="76">
        <f t="shared" si="4"/>
        <v>151.47170588235295</v>
      </c>
      <c r="AC32" s="76">
        <f t="shared" si="4"/>
        <v>102.60845070422535</v>
      </c>
      <c r="AD32" s="76">
        <f t="shared" si="4"/>
        <v>80.267385159010601</v>
      </c>
      <c r="AE32" s="76">
        <f t="shared" si="4"/>
        <v>105.67265748031497</v>
      </c>
      <c r="AF32" s="76">
        <f t="shared" si="4"/>
        <v>111.33466019417475</v>
      </c>
      <c r="AG32" s="76">
        <f t="shared" si="4"/>
        <v>62.7029906542056</v>
      </c>
      <c r="AH32" s="76">
        <f t="shared" si="4"/>
        <v>86.442217573221754</v>
      </c>
      <c r="AI32" s="76">
        <f t="shared" si="4"/>
        <v>190.29808</v>
      </c>
      <c r="AJ32" s="76">
        <f t="shared" si="4"/>
        <v>101.24434189826954</v>
      </c>
      <c r="AK32" s="76">
        <f t="shared" si="4"/>
        <v>160.84789241622576</v>
      </c>
      <c r="AL32" s="76">
        <f t="shared" si="4"/>
        <v>137.27358270989191</v>
      </c>
      <c r="AM32" s="76">
        <f t="shared" si="4"/>
        <v>179.81285714285715</v>
      </c>
      <c r="AN32" s="76">
        <f t="shared" si="4"/>
        <v>179.6946541417592</v>
      </c>
      <c r="AO32" s="76">
        <f t="shared" si="4"/>
        <v>159.74473282442747</v>
      </c>
      <c r="AP32" s="76">
        <f t="shared" si="4"/>
        <v>126.50426307448495</v>
      </c>
      <c r="AQ32" s="76">
        <f t="shared" si="4"/>
        <v>196.25317619783615</v>
      </c>
      <c r="AR32" s="76">
        <f t="shared" si="4"/>
        <v>99.707461858529811</v>
      </c>
      <c r="AS32" s="76">
        <f t="shared" si="4"/>
        <v>145.2306037735849</v>
      </c>
      <c r="AT32" s="76">
        <f t="shared" si="4"/>
        <v>67.806656050955411</v>
      </c>
      <c r="AU32" s="76">
        <f t="shared" si="4"/>
        <v>90.173880962087239</v>
      </c>
      <c r="AV32" s="76">
        <f t="shared" si="4"/>
        <v>96.917416020671837</v>
      </c>
      <c r="AW32" s="76">
        <f t="shared" si="4"/>
        <v>27.871625344352616</v>
      </c>
      <c r="AX32" s="76">
        <f t="shared" si="4"/>
        <v>48.70490963855422</v>
      </c>
      <c r="AY32" s="76">
        <f t="shared" si="4"/>
        <v>183.84959927140252</v>
      </c>
      <c r="AZ32" s="76">
        <f t="shared" si="4"/>
        <v>126.38742782152231</v>
      </c>
      <c r="BA32" s="76">
        <f t="shared" si="4"/>
        <v>146.27532639545885</v>
      </c>
      <c r="BB32" s="76">
        <f t="shared" si="4"/>
        <v>184.80601121042267</v>
      </c>
      <c r="BC32" s="76">
        <f t="shared" si="4"/>
        <v>126.37491773308957</v>
      </c>
      <c r="BD32" s="76">
        <f t="shared" si="4"/>
        <v>135.45440897140099</v>
      </c>
      <c r="BE32" s="76">
        <f t="shared" si="4"/>
        <v>143.01001437216337</v>
      </c>
      <c r="BF32" s="76">
        <f t="shared" si="4"/>
        <v>80.929836672680651</v>
      </c>
      <c r="BG32" s="76">
        <f t="shared" si="4"/>
        <v>146.72603358377472</v>
      </c>
    </row>
    <row r="33" spans="2:59" x14ac:dyDescent="0.2">
      <c r="C33" s="8">
        <v>340</v>
      </c>
      <c r="D33" s="8" t="s">
        <v>98</v>
      </c>
      <c r="E33" s="13">
        <f>'4.1 Comptes 2023 natures'!E33/'4.1 Comptes 2023 natures'!E3</f>
        <v>163.00223725286159</v>
      </c>
      <c r="F33" s="13">
        <f>'4.1 Comptes 2023 natures'!F33/'4.1 Comptes 2023 natures'!F3</f>
        <v>118.07429118773946</v>
      </c>
      <c r="G33" s="13">
        <f>'4.1 Comptes 2023 natures'!G33/'4.1 Comptes 2023 natures'!G3</f>
        <v>108.01892712550607</v>
      </c>
      <c r="H33" s="13">
        <f>'4.1 Comptes 2023 natures'!H33/'4.1 Comptes 2023 natures'!H3</f>
        <v>136.8283595505618</v>
      </c>
      <c r="I33" s="13">
        <f>'4.1 Comptes 2023 natures'!I33/'4.1 Comptes 2023 natures'!I3</f>
        <v>80.756847559312789</v>
      </c>
      <c r="J33" s="13">
        <f>'4.1 Comptes 2023 natures'!J33/'4.1 Comptes 2023 natures'!J3</f>
        <v>95.071507656065961</v>
      </c>
      <c r="K33" s="13">
        <f>'4.1 Comptes 2023 natures'!K33/'4.1 Comptes 2023 natures'!K3</f>
        <v>57.186266519823796</v>
      </c>
      <c r="L33" s="13">
        <f>'4.1 Comptes 2023 natures'!L33/'4.1 Comptes 2023 natures'!L3</f>
        <v>198.56747939398699</v>
      </c>
      <c r="M33" s="13">
        <f>'4.1 Comptes 2023 natures'!M33/'4.1 Comptes 2023 natures'!M3</f>
        <v>41.134992711370259</v>
      </c>
      <c r="N33" s="13">
        <f>'4.1 Comptes 2023 natures'!N33/'4.1 Comptes 2023 natures'!N3</f>
        <v>57.353333333333332</v>
      </c>
      <c r="O33" s="13">
        <f>'4.1 Comptes 2023 natures'!O33/'4.1 Comptes 2023 natures'!O3</f>
        <v>61.165150774246129</v>
      </c>
      <c r="P33" s="13">
        <f>'4.1 Comptes 2023 natures'!P33/'4.1 Comptes 2023 natures'!P3</f>
        <v>72.13992523364486</v>
      </c>
      <c r="Q33" s="13">
        <f>'4.1 Comptes 2023 natures'!Q33/'4.1 Comptes 2023 natures'!Q3</f>
        <v>79.459821428571431</v>
      </c>
      <c r="R33" s="13">
        <f>'4.1 Comptes 2023 natures'!R33/'4.1 Comptes 2023 natures'!R3</f>
        <v>51.016071428571429</v>
      </c>
      <c r="S33" s="13">
        <f>'4.1 Comptes 2023 natures'!S33/'4.1 Comptes 2023 natures'!S3</f>
        <v>189.4815759312321</v>
      </c>
      <c r="T33" s="13">
        <f>'4.1 Comptes 2023 natures'!T33/'4.1 Comptes 2023 natures'!T3</f>
        <v>57.086221009549789</v>
      </c>
      <c r="U33" s="13">
        <f>'4.1 Comptes 2023 natures'!U33/'4.1 Comptes 2023 natures'!U3</f>
        <v>62.253553113553117</v>
      </c>
      <c r="V33" s="13">
        <f>'4.1 Comptes 2023 natures'!V33/'4.1 Comptes 2023 natures'!V3</f>
        <v>79.417076566125289</v>
      </c>
      <c r="W33" s="13">
        <f>'4.1 Comptes 2023 natures'!W33/'4.1 Comptes 2023 natures'!W3</f>
        <v>59.971832364637507</v>
      </c>
      <c r="X33" s="13">
        <f>'4.1 Comptes 2023 natures'!X33/'4.1 Comptes 2023 natures'!X3</f>
        <v>15.614983606557375</v>
      </c>
      <c r="Y33" s="13">
        <f>'4.1 Comptes 2023 natures'!Y33/'4.1 Comptes 2023 natures'!Y3</f>
        <v>108.28917731629392</v>
      </c>
      <c r="Z33" s="13">
        <f>'4.1 Comptes 2023 natures'!Z33/'4.1 Comptes 2023 natures'!Z3</f>
        <v>5.8546894031668693</v>
      </c>
      <c r="AA33" s="13">
        <f>'4.1 Comptes 2023 natures'!AA33/'4.1 Comptes 2023 natures'!AA3</f>
        <v>32.251342281879197</v>
      </c>
      <c r="AB33" s="13">
        <f>'4.1 Comptes 2023 natures'!AB33/'4.1 Comptes 2023 natures'!AB3</f>
        <v>122.35856862745099</v>
      </c>
      <c r="AC33" s="13">
        <f>'4.1 Comptes 2023 natures'!AC33/'4.1 Comptes 2023 natures'!AC3</f>
        <v>98.32415492957746</v>
      </c>
      <c r="AD33" s="13">
        <f>'4.1 Comptes 2023 natures'!AD33/'4.1 Comptes 2023 natures'!AD3</f>
        <v>80.267385159010601</v>
      </c>
      <c r="AE33" s="13">
        <f>'4.1 Comptes 2023 natures'!AE33/'4.1 Comptes 2023 natures'!AE3</f>
        <v>15.286830708661418</v>
      </c>
      <c r="AF33" s="13">
        <f>'4.1 Comptes 2023 natures'!AF33/'4.1 Comptes 2023 natures'!AF3</f>
        <v>21.499918242207457</v>
      </c>
      <c r="AG33" s="13">
        <f>'4.1 Comptes 2023 natures'!AG33/'4.1 Comptes 2023 natures'!AG3</f>
        <v>54.131748442367595</v>
      </c>
      <c r="AH33" s="13">
        <f>'4.1 Comptes 2023 natures'!AH33/'4.1 Comptes 2023 natures'!AH3</f>
        <v>76.802887029288698</v>
      </c>
      <c r="AI33" s="13">
        <f>'4.1 Comptes 2023 natures'!AI33/'4.1 Comptes 2023 natures'!AI3</f>
        <v>35.427680000000002</v>
      </c>
      <c r="AJ33" s="13">
        <f>'4.1 Comptes 2023 natures'!AJ33/'4.1 Comptes 2023 natures'!AJ3</f>
        <v>93.780681699003679</v>
      </c>
      <c r="AK33" s="13">
        <f>'4.1 Comptes 2023 natures'!AK33/'4.1 Comptes 2023 natures'!AK3</f>
        <v>109.73298941798943</v>
      </c>
      <c r="AL33" s="13">
        <f>'4.1 Comptes 2023 natures'!AL33/'4.1 Comptes 2023 natures'!AL3</f>
        <v>110.69453034081462</v>
      </c>
      <c r="AM33" s="13">
        <f>'4.1 Comptes 2023 natures'!AM33/'4.1 Comptes 2023 natures'!AM3</f>
        <v>171.62937500000001</v>
      </c>
      <c r="AN33" s="13">
        <f>'4.1 Comptes 2023 natures'!AN33/'4.1 Comptes 2023 natures'!AN3</f>
        <v>76.451272416737837</v>
      </c>
      <c r="AO33" s="13">
        <f>'4.1 Comptes 2023 natures'!AO33/'4.1 Comptes 2023 natures'!AO3</f>
        <v>131.98618320610686</v>
      </c>
      <c r="AP33" s="13">
        <f>'4.1 Comptes 2023 natures'!AP33/'4.1 Comptes 2023 natures'!AP3</f>
        <v>126.50426307448495</v>
      </c>
      <c r="AQ33" s="13">
        <f>'4.1 Comptes 2023 natures'!AQ33/'4.1 Comptes 2023 natures'!AQ3</f>
        <v>69.502171561051</v>
      </c>
      <c r="AR33" s="13">
        <f>'4.1 Comptes 2023 natures'!AR33/'4.1 Comptes 2023 natures'!AR3</f>
        <v>90.258016643550619</v>
      </c>
      <c r="AS33" s="13">
        <f>'4.1 Comptes 2023 natures'!AS33/'4.1 Comptes 2023 natures'!AS3</f>
        <v>98.8215</v>
      </c>
      <c r="AT33" s="13">
        <f>'4.1 Comptes 2023 natures'!AT33/'4.1 Comptes 2023 natures'!AT3</f>
        <v>67.806656050955411</v>
      </c>
      <c r="AU33" s="13">
        <f>'4.1 Comptes 2023 natures'!AU33/'4.1 Comptes 2023 natures'!AU3</f>
        <v>90.173880962087239</v>
      </c>
      <c r="AV33" s="13">
        <f>'4.1 Comptes 2023 natures'!AV33/'4.1 Comptes 2023 natures'!AV3</f>
        <v>78.922713178294572</v>
      </c>
      <c r="AW33" s="13">
        <f>'4.1 Comptes 2023 natures'!AW33/'4.1 Comptes 2023 natures'!AW3</f>
        <v>21.992424242424242</v>
      </c>
      <c r="AX33" s="13">
        <f>'4.1 Comptes 2023 natures'!AX33/'4.1 Comptes 2023 natures'!AX3</f>
        <v>48.70490963855422</v>
      </c>
      <c r="AY33" s="13">
        <f>'4.1 Comptes 2023 natures'!AY33/'4.1 Comptes 2023 natures'!AY3</f>
        <v>183.18945962355798</v>
      </c>
      <c r="AZ33" s="13">
        <f>'4.1 Comptes 2023 natures'!AZ33/'4.1 Comptes 2023 natures'!AZ3</f>
        <v>122.9832283464567</v>
      </c>
      <c r="BA33" s="13">
        <f>'4.1 Comptes 2023 natures'!BA33/'4.1 Comptes 2023 natures'!BA3</f>
        <v>114.79423841059602</v>
      </c>
      <c r="BB33" s="13">
        <f>'4.1 Comptes 2023 natures'!BB33/'4.1 Comptes 2023 natures'!BB3</f>
        <v>133.71151795182547</v>
      </c>
      <c r="BC33" s="13">
        <f>'4.1 Comptes 2023 natures'!BC33/'4.1 Comptes 2023 natures'!BC3</f>
        <v>83.517513711151736</v>
      </c>
      <c r="BD33" s="13">
        <f>'4.1 Comptes 2023 natures'!BD33/'4.1 Comptes 2023 natures'!BD3</f>
        <v>104.42753514514139</v>
      </c>
      <c r="BE33" s="13">
        <f>'4.1 Comptes 2023 natures'!BE33/'4.1 Comptes 2023 natures'!BE3</f>
        <v>114.56502496217851</v>
      </c>
      <c r="BF33" s="13">
        <f>'4.1 Comptes 2023 natures'!BF33/'4.1 Comptes 2023 natures'!BF3</f>
        <v>51.660769157724808</v>
      </c>
      <c r="BG33" s="13">
        <f>'4.1 Comptes 2023 natures'!BG33/'4.1 Comptes 2023 natures'!BG3</f>
        <v>110.73512501539601</v>
      </c>
    </row>
    <row r="34" spans="2:59" x14ac:dyDescent="0.2">
      <c r="C34" s="8">
        <v>341</v>
      </c>
      <c r="D34" s="8" t="s">
        <v>99</v>
      </c>
      <c r="E34" s="13">
        <f>'4.1 Comptes 2023 natures'!E34/'4.1 Comptes 2023 natures'!E3</f>
        <v>0</v>
      </c>
      <c r="F34" s="13">
        <f>'4.1 Comptes 2023 natures'!F34/'4.1 Comptes 2023 natures'!F3</f>
        <v>0</v>
      </c>
      <c r="G34" s="13">
        <f>'4.1 Comptes 2023 natures'!G34/'4.1 Comptes 2023 natures'!G3</f>
        <v>0</v>
      </c>
      <c r="H34" s="13">
        <f>'4.1 Comptes 2023 natures'!H34/'4.1 Comptes 2023 natures'!H3</f>
        <v>0</v>
      </c>
      <c r="I34" s="13">
        <f>'4.1 Comptes 2023 natures'!I34/'4.1 Comptes 2023 natures'!I3</f>
        <v>0</v>
      </c>
      <c r="J34" s="13">
        <f>'4.1 Comptes 2023 natures'!J34/'4.1 Comptes 2023 natures'!J3</f>
        <v>0</v>
      </c>
      <c r="K34" s="13">
        <f>'4.1 Comptes 2023 natures'!K34/'4.1 Comptes 2023 natures'!K3</f>
        <v>0</v>
      </c>
      <c r="L34" s="13">
        <f>'4.1 Comptes 2023 natures'!L34/'4.1 Comptes 2023 natures'!L3</f>
        <v>0</v>
      </c>
      <c r="M34" s="13">
        <f>'4.1 Comptes 2023 natures'!M34/'4.1 Comptes 2023 natures'!M3</f>
        <v>0</v>
      </c>
      <c r="N34" s="13">
        <f>'4.1 Comptes 2023 natures'!N34/'4.1 Comptes 2023 natures'!N3</f>
        <v>0</v>
      </c>
      <c r="O34" s="13">
        <f>'4.1 Comptes 2023 natures'!O34/'4.1 Comptes 2023 natures'!O3</f>
        <v>0</v>
      </c>
      <c r="P34" s="13">
        <f>'4.1 Comptes 2023 natures'!P34/'4.1 Comptes 2023 natures'!P3</f>
        <v>0</v>
      </c>
      <c r="Q34" s="13">
        <f>'4.1 Comptes 2023 natures'!Q34/'4.1 Comptes 2023 natures'!Q3</f>
        <v>0</v>
      </c>
      <c r="R34" s="13">
        <f>'4.1 Comptes 2023 natures'!R34/'4.1 Comptes 2023 natures'!R3</f>
        <v>0</v>
      </c>
      <c r="S34" s="13">
        <f>'4.1 Comptes 2023 natures'!S34/'4.1 Comptes 2023 natures'!S3</f>
        <v>0</v>
      </c>
      <c r="T34" s="13">
        <f>'4.1 Comptes 2023 natures'!T34/'4.1 Comptes 2023 natures'!T3</f>
        <v>0</v>
      </c>
      <c r="U34" s="13">
        <f>'4.1 Comptes 2023 natures'!U34/'4.1 Comptes 2023 natures'!U3</f>
        <v>0</v>
      </c>
      <c r="V34" s="13">
        <f>'4.1 Comptes 2023 natures'!V34/'4.1 Comptes 2023 natures'!V3</f>
        <v>0</v>
      </c>
      <c r="W34" s="13">
        <f>'4.1 Comptes 2023 natures'!W34/'4.1 Comptes 2023 natures'!W3</f>
        <v>4.5857020495564393</v>
      </c>
      <c r="X34" s="13">
        <f>'4.1 Comptes 2023 natures'!X34/'4.1 Comptes 2023 natures'!X3</f>
        <v>0</v>
      </c>
      <c r="Y34" s="13">
        <f>'4.1 Comptes 2023 natures'!Y34/'4.1 Comptes 2023 natures'!Y3</f>
        <v>0</v>
      </c>
      <c r="Z34" s="13">
        <f>'4.1 Comptes 2023 natures'!Z34/'4.1 Comptes 2023 natures'!Z3</f>
        <v>0</v>
      </c>
      <c r="AA34" s="13">
        <f>'4.1 Comptes 2023 natures'!AA34/'4.1 Comptes 2023 natures'!AA3</f>
        <v>0</v>
      </c>
      <c r="AB34" s="13">
        <f>'4.1 Comptes 2023 natures'!AB34/'4.1 Comptes 2023 natures'!AB3</f>
        <v>0</v>
      </c>
      <c r="AC34" s="13">
        <f>'4.1 Comptes 2023 natures'!AC34/'4.1 Comptes 2023 natures'!AC3</f>
        <v>0</v>
      </c>
      <c r="AD34" s="13">
        <f>'4.1 Comptes 2023 natures'!AD34/'4.1 Comptes 2023 natures'!AD3</f>
        <v>0</v>
      </c>
      <c r="AE34" s="13">
        <f>'4.1 Comptes 2023 natures'!AE34/'4.1 Comptes 2023 natures'!AE3</f>
        <v>0</v>
      </c>
      <c r="AF34" s="13">
        <f>'4.1 Comptes 2023 natures'!AF34/'4.1 Comptes 2023 natures'!AF3</f>
        <v>0</v>
      </c>
      <c r="AG34" s="13">
        <f>'4.1 Comptes 2023 natures'!AG34/'4.1 Comptes 2023 natures'!AG3</f>
        <v>0</v>
      </c>
      <c r="AH34" s="13">
        <f>'4.1 Comptes 2023 natures'!AH34/'4.1 Comptes 2023 natures'!AH3</f>
        <v>8.3682008368200833</v>
      </c>
      <c r="AI34" s="13">
        <f>'4.1 Comptes 2023 natures'!AI34/'4.1 Comptes 2023 natures'!AI3</f>
        <v>0</v>
      </c>
      <c r="AJ34" s="13">
        <f>'4.1 Comptes 2023 natures'!AJ34/'4.1 Comptes 2023 natures'!AJ3</f>
        <v>0</v>
      </c>
      <c r="AK34" s="13">
        <f>'4.1 Comptes 2023 natures'!AK34/'4.1 Comptes 2023 natures'!AK3</f>
        <v>1.0849206349206348</v>
      </c>
      <c r="AL34" s="13">
        <f>'4.1 Comptes 2023 natures'!AL34/'4.1 Comptes 2023 natures'!AL3</f>
        <v>0</v>
      </c>
      <c r="AM34" s="13">
        <f>'4.1 Comptes 2023 natures'!AM34/'4.1 Comptes 2023 natures'!AM3</f>
        <v>0</v>
      </c>
      <c r="AN34" s="13">
        <f>'4.1 Comptes 2023 natures'!AN34/'4.1 Comptes 2023 natures'!AN3</f>
        <v>0</v>
      </c>
      <c r="AO34" s="13">
        <f>'4.1 Comptes 2023 natures'!AO34/'4.1 Comptes 2023 natures'!AO3</f>
        <v>0</v>
      </c>
      <c r="AP34" s="13">
        <f>'4.1 Comptes 2023 natures'!AP34/'4.1 Comptes 2023 natures'!AP3</f>
        <v>0</v>
      </c>
      <c r="AQ34" s="13">
        <f>'4.1 Comptes 2023 natures'!AQ34/'4.1 Comptes 2023 natures'!AQ3</f>
        <v>0</v>
      </c>
      <c r="AR34" s="13">
        <f>'4.1 Comptes 2023 natures'!AR34/'4.1 Comptes 2023 natures'!AR3</f>
        <v>0</v>
      </c>
      <c r="AS34" s="13">
        <f>'4.1 Comptes 2023 natures'!AS34/'4.1 Comptes 2023 natures'!AS3</f>
        <v>0</v>
      </c>
      <c r="AT34" s="13">
        <f>'4.1 Comptes 2023 natures'!AT34/'4.1 Comptes 2023 natures'!AT3</f>
        <v>0</v>
      </c>
      <c r="AU34" s="13">
        <f>'4.1 Comptes 2023 natures'!AU34/'4.1 Comptes 2023 natures'!AU3</f>
        <v>0</v>
      </c>
      <c r="AV34" s="13">
        <f>'4.1 Comptes 2023 natures'!AV34/'4.1 Comptes 2023 natures'!AV3</f>
        <v>0</v>
      </c>
      <c r="AW34" s="13">
        <f>'4.1 Comptes 2023 natures'!AW34/'4.1 Comptes 2023 natures'!AW3</f>
        <v>0</v>
      </c>
      <c r="AX34" s="13">
        <f>'4.1 Comptes 2023 natures'!AX34/'4.1 Comptes 2023 natures'!AX3</f>
        <v>0</v>
      </c>
      <c r="AY34" s="13">
        <f>'4.1 Comptes 2023 natures'!AY34/'4.1 Comptes 2023 natures'!AY3</f>
        <v>0</v>
      </c>
      <c r="AZ34" s="13">
        <f>'4.1 Comptes 2023 natures'!AZ34/'4.1 Comptes 2023 natures'!AZ3</f>
        <v>0</v>
      </c>
      <c r="BA34" s="13">
        <f>'4.1 Comptes 2023 natures'!BA34/'4.1 Comptes 2023 natures'!BA3</f>
        <v>0</v>
      </c>
      <c r="BB34" s="13">
        <f>'4.1 Comptes 2023 natures'!BB34/'4.1 Comptes 2023 natures'!BB3</f>
        <v>6.3686562642023938</v>
      </c>
      <c r="BC34" s="13">
        <f>'4.1 Comptes 2023 natures'!BC34/'4.1 Comptes 2023 natures'!BC3</f>
        <v>0</v>
      </c>
      <c r="BD34" s="13">
        <f>'4.1 Comptes 2023 natures'!BD34/'4.1 Comptes 2023 natures'!BD3</f>
        <v>0.80834442238557702</v>
      </c>
      <c r="BE34" s="13">
        <f>'4.1 Comptes 2023 natures'!BE34/'4.1 Comptes 2023 natures'!BE3</f>
        <v>0.37797932425617753</v>
      </c>
      <c r="BF34" s="13">
        <f>'4.1 Comptes 2023 natures'!BF34/'4.1 Comptes 2023 natures'!BF3</f>
        <v>0.18991548760801444</v>
      </c>
      <c r="BG34" s="13">
        <f>'4.1 Comptes 2023 natures'!BG34/'4.1 Comptes 2023 natures'!BG3</f>
        <v>1.7764831465287187</v>
      </c>
    </row>
    <row r="35" spans="2:59" x14ac:dyDescent="0.2">
      <c r="C35" s="8">
        <v>342</v>
      </c>
      <c r="D35" s="8" t="s">
        <v>100</v>
      </c>
      <c r="E35" s="13">
        <f>'4.1 Comptes 2023 natures'!E35/'4.1 Comptes 2023 natures'!E3</f>
        <v>0</v>
      </c>
      <c r="F35" s="13">
        <f>'4.1 Comptes 2023 natures'!F35/'4.1 Comptes 2023 natures'!F3</f>
        <v>0</v>
      </c>
      <c r="G35" s="13">
        <f>'4.1 Comptes 2023 natures'!G35/'4.1 Comptes 2023 natures'!G3</f>
        <v>0</v>
      </c>
      <c r="H35" s="13">
        <f>'4.1 Comptes 2023 natures'!H35/'4.1 Comptes 2023 natures'!H3</f>
        <v>0</v>
      </c>
      <c r="I35" s="13">
        <f>'4.1 Comptes 2023 natures'!I35/'4.1 Comptes 2023 natures'!I3</f>
        <v>0</v>
      </c>
      <c r="J35" s="13">
        <f>'4.1 Comptes 2023 natures'!J35/'4.1 Comptes 2023 natures'!J3</f>
        <v>0</v>
      </c>
      <c r="K35" s="13">
        <f>'4.1 Comptes 2023 natures'!K35/'4.1 Comptes 2023 natures'!K3</f>
        <v>0</v>
      </c>
      <c r="L35" s="13">
        <f>'4.1 Comptes 2023 natures'!L35/'4.1 Comptes 2023 natures'!L3</f>
        <v>0</v>
      </c>
      <c r="M35" s="13">
        <f>'4.1 Comptes 2023 natures'!M35/'4.1 Comptes 2023 natures'!M3</f>
        <v>0</v>
      </c>
      <c r="N35" s="13">
        <f>'4.1 Comptes 2023 natures'!N35/'4.1 Comptes 2023 natures'!N3</f>
        <v>0</v>
      </c>
      <c r="O35" s="13">
        <f>'4.1 Comptes 2023 natures'!O35/'4.1 Comptes 2023 natures'!O3</f>
        <v>0</v>
      </c>
      <c r="P35" s="13">
        <f>'4.1 Comptes 2023 natures'!P35/'4.1 Comptes 2023 natures'!P3</f>
        <v>0</v>
      </c>
      <c r="Q35" s="13">
        <f>'4.1 Comptes 2023 natures'!Q35/'4.1 Comptes 2023 natures'!Q3</f>
        <v>0</v>
      </c>
      <c r="R35" s="13">
        <f>'4.1 Comptes 2023 natures'!R35/'4.1 Comptes 2023 natures'!R3</f>
        <v>0</v>
      </c>
      <c r="S35" s="13">
        <f>'4.1 Comptes 2023 natures'!S35/'4.1 Comptes 2023 natures'!S3</f>
        <v>0</v>
      </c>
      <c r="T35" s="13">
        <f>'4.1 Comptes 2023 natures'!T35/'4.1 Comptes 2023 natures'!T3</f>
        <v>0</v>
      </c>
      <c r="U35" s="13">
        <f>'4.1 Comptes 2023 natures'!U35/'4.1 Comptes 2023 natures'!U3</f>
        <v>0</v>
      </c>
      <c r="V35" s="13">
        <f>'4.1 Comptes 2023 natures'!V35/'4.1 Comptes 2023 natures'!V3</f>
        <v>20.534338747099767</v>
      </c>
      <c r="W35" s="13">
        <f>'4.1 Comptes 2023 natures'!W35/'4.1 Comptes 2023 natures'!W3</f>
        <v>1.142551238910982E-2</v>
      </c>
      <c r="X35" s="13">
        <f>'4.1 Comptes 2023 natures'!X35/'4.1 Comptes 2023 natures'!X3</f>
        <v>0</v>
      </c>
      <c r="Y35" s="13">
        <f>'4.1 Comptes 2023 natures'!Y35/'4.1 Comptes 2023 natures'!Y3</f>
        <v>0</v>
      </c>
      <c r="Z35" s="13">
        <f>'4.1 Comptes 2023 natures'!Z35/'4.1 Comptes 2023 natures'!Z3</f>
        <v>0</v>
      </c>
      <c r="AA35" s="13">
        <f>'4.1 Comptes 2023 natures'!AA35/'4.1 Comptes 2023 natures'!AA3</f>
        <v>0</v>
      </c>
      <c r="AB35" s="13">
        <f>'4.1 Comptes 2023 natures'!AB35/'4.1 Comptes 2023 natures'!AB3</f>
        <v>0</v>
      </c>
      <c r="AC35" s="13">
        <f>'4.1 Comptes 2023 natures'!AC35/'4.1 Comptes 2023 natures'!AC3</f>
        <v>0</v>
      </c>
      <c r="AD35" s="13">
        <f>'4.1 Comptes 2023 natures'!AD35/'4.1 Comptes 2023 natures'!AD3</f>
        <v>0</v>
      </c>
      <c r="AE35" s="13">
        <f>'4.1 Comptes 2023 natures'!AE35/'4.1 Comptes 2023 natures'!AE3</f>
        <v>0</v>
      </c>
      <c r="AF35" s="13">
        <f>'4.1 Comptes 2023 natures'!AF35/'4.1 Comptes 2023 natures'!AF3</f>
        <v>0</v>
      </c>
      <c r="AG35" s="13">
        <f>'4.1 Comptes 2023 natures'!AG35/'4.1 Comptes 2023 natures'!AG3</f>
        <v>0</v>
      </c>
      <c r="AH35" s="13">
        <f>'4.1 Comptes 2023 natures'!AH35/'4.1 Comptes 2023 natures'!AH3</f>
        <v>0</v>
      </c>
      <c r="AI35" s="13">
        <f>'4.1 Comptes 2023 natures'!AI35/'4.1 Comptes 2023 natures'!AI3</f>
        <v>0</v>
      </c>
      <c r="AJ35" s="13">
        <f>'4.1 Comptes 2023 natures'!AJ35/'4.1 Comptes 2023 natures'!AJ3</f>
        <v>0</v>
      </c>
      <c r="AK35" s="13">
        <f>'4.1 Comptes 2023 natures'!AK35/'4.1 Comptes 2023 natures'!AK3</f>
        <v>0</v>
      </c>
      <c r="AL35" s="13">
        <f>'4.1 Comptes 2023 natures'!AL35/'4.1 Comptes 2023 natures'!AL3</f>
        <v>0</v>
      </c>
      <c r="AM35" s="13">
        <f>'4.1 Comptes 2023 natures'!AM35/'4.1 Comptes 2023 natures'!AM3</f>
        <v>0</v>
      </c>
      <c r="AN35" s="13">
        <f>'4.1 Comptes 2023 natures'!AN35/'4.1 Comptes 2023 natures'!AN3</f>
        <v>0</v>
      </c>
      <c r="AO35" s="13">
        <f>'4.1 Comptes 2023 natures'!AO35/'4.1 Comptes 2023 natures'!AO3</f>
        <v>0</v>
      </c>
      <c r="AP35" s="13">
        <f>'4.1 Comptes 2023 natures'!AP35/'4.1 Comptes 2023 natures'!AP3</f>
        <v>0</v>
      </c>
      <c r="AQ35" s="13">
        <f>'4.1 Comptes 2023 natures'!AQ35/'4.1 Comptes 2023 natures'!AQ3</f>
        <v>0</v>
      </c>
      <c r="AR35" s="13">
        <f>'4.1 Comptes 2023 natures'!AR35/'4.1 Comptes 2023 natures'!AR3</f>
        <v>0</v>
      </c>
      <c r="AS35" s="13">
        <f>'4.1 Comptes 2023 natures'!AS35/'4.1 Comptes 2023 natures'!AS3</f>
        <v>0</v>
      </c>
      <c r="AT35" s="13">
        <f>'4.1 Comptes 2023 natures'!AT35/'4.1 Comptes 2023 natures'!AT3</f>
        <v>0</v>
      </c>
      <c r="AU35" s="13">
        <f>'4.1 Comptes 2023 natures'!AU35/'4.1 Comptes 2023 natures'!AU3</f>
        <v>0</v>
      </c>
      <c r="AV35" s="13">
        <f>'4.1 Comptes 2023 natures'!AV35/'4.1 Comptes 2023 natures'!AV3</f>
        <v>0</v>
      </c>
      <c r="AW35" s="13">
        <f>'4.1 Comptes 2023 natures'!AW35/'4.1 Comptes 2023 natures'!AW3</f>
        <v>0</v>
      </c>
      <c r="AX35" s="13">
        <f>'4.1 Comptes 2023 natures'!AX35/'4.1 Comptes 2023 natures'!AX3</f>
        <v>0</v>
      </c>
      <c r="AY35" s="13">
        <f>'4.1 Comptes 2023 natures'!AY35/'4.1 Comptes 2023 natures'!AY3</f>
        <v>0</v>
      </c>
      <c r="AZ35" s="13">
        <f>'4.1 Comptes 2023 natures'!AZ35/'4.1 Comptes 2023 natures'!AZ3</f>
        <v>0</v>
      </c>
      <c r="BA35" s="13">
        <f>'4.1 Comptes 2023 natures'!BA35/'4.1 Comptes 2023 natures'!BA3</f>
        <v>0</v>
      </c>
      <c r="BB35" s="13">
        <f>'4.1 Comptes 2023 natures'!BB35/'4.1 Comptes 2023 natures'!BB3</f>
        <v>0</v>
      </c>
      <c r="BC35" s="13">
        <f>'4.1 Comptes 2023 natures'!BC35/'4.1 Comptes 2023 natures'!BC3</f>
        <v>0</v>
      </c>
      <c r="BD35" s="13">
        <f>'4.1 Comptes 2023 natures'!BD35/'4.1 Comptes 2023 natures'!BD3</f>
        <v>0.11922050222675323</v>
      </c>
      <c r="BE35" s="13">
        <f>'4.1 Comptes 2023 natures'!BE35/'4.1 Comptes 2023 natures'!BE3</f>
        <v>0.22409606656580938</v>
      </c>
      <c r="BF35" s="13">
        <f>'4.1 Comptes 2023 natures'!BF35/'4.1 Comptes 2023 natures'!BF3</f>
        <v>0</v>
      </c>
      <c r="BG35" s="13">
        <f>'4.1 Comptes 2023 natures'!BG35/'4.1 Comptes 2023 natures'!BG3</f>
        <v>0</v>
      </c>
    </row>
    <row r="36" spans="2:59" x14ac:dyDescent="0.2">
      <c r="C36" s="8">
        <v>343</v>
      </c>
      <c r="D36" s="8" t="s">
        <v>101</v>
      </c>
      <c r="E36" s="13">
        <f>'4.1 Comptes 2023 natures'!E36/'4.1 Comptes 2023 natures'!E3</f>
        <v>0</v>
      </c>
      <c r="F36" s="13">
        <f>'4.1 Comptes 2023 natures'!F36/'4.1 Comptes 2023 natures'!F3</f>
        <v>40.573984674329502</v>
      </c>
      <c r="G36" s="13">
        <f>'4.1 Comptes 2023 natures'!G36/'4.1 Comptes 2023 natures'!G3</f>
        <v>37.007186234817816</v>
      </c>
      <c r="H36" s="13">
        <f>'4.1 Comptes 2023 natures'!H36/'4.1 Comptes 2023 natures'!H3</f>
        <v>31.906404494382024</v>
      </c>
      <c r="I36" s="13">
        <f>'4.1 Comptes 2023 natures'!I36/'4.1 Comptes 2023 natures'!I3</f>
        <v>46.251126261248977</v>
      </c>
      <c r="J36" s="13">
        <f>'4.1 Comptes 2023 natures'!J36/'4.1 Comptes 2023 natures'!J3</f>
        <v>12.088339222614842</v>
      </c>
      <c r="K36" s="13">
        <f>'4.1 Comptes 2023 natures'!K36/'4.1 Comptes 2023 natures'!K3</f>
        <v>23.127470631424377</v>
      </c>
      <c r="L36" s="13">
        <f>'4.1 Comptes 2023 natures'!L36/'4.1 Comptes 2023 natures'!L3</f>
        <v>47.729636549179681</v>
      </c>
      <c r="M36" s="13">
        <f>'4.1 Comptes 2023 natures'!M36/'4.1 Comptes 2023 natures'!M3</f>
        <v>10.938046647230321</v>
      </c>
      <c r="N36" s="13">
        <f>'4.1 Comptes 2023 natures'!N36/'4.1 Comptes 2023 natures'!N3</f>
        <v>0</v>
      </c>
      <c r="O36" s="13">
        <f>'4.1 Comptes 2023 natures'!O36/'4.1 Comptes 2023 natures'!O3</f>
        <v>9.6424477044281449</v>
      </c>
      <c r="P36" s="13">
        <f>'4.1 Comptes 2023 natures'!P36/'4.1 Comptes 2023 natures'!P3</f>
        <v>13.439626168224299</v>
      </c>
      <c r="Q36" s="13">
        <f>'4.1 Comptes 2023 natures'!Q36/'4.1 Comptes 2023 natures'!Q3</f>
        <v>17.204464285714288</v>
      </c>
      <c r="R36" s="13">
        <f>'4.1 Comptes 2023 natures'!R36/'4.1 Comptes 2023 natures'!R3</f>
        <v>27.407499999999999</v>
      </c>
      <c r="S36" s="13">
        <f>'4.1 Comptes 2023 natures'!S36/'4.1 Comptes 2023 natures'!S3</f>
        <v>7.347707736389685</v>
      </c>
      <c r="T36" s="13">
        <f>'4.1 Comptes 2023 natures'!T36/'4.1 Comptes 2023 natures'!T3</f>
        <v>49.337107776261938</v>
      </c>
      <c r="U36" s="13">
        <f>'4.1 Comptes 2023 natures'!U36/'4.1 Comptes 2023 natures'!U3</f>
        <v>35.187362637362639</v>
      </c>
      <c r="V36" s="13">
        <f>'4.1 Comptes 2023 natures'!V36/'4.1 Comptes 2023 natures'!V3</f>
        <v>0</v>
      </c>
      <c r="W36" s="13">
        <f>'4.1 Comptes 2023 natures'!W36/'4.1 Comptes 2023 natures'!W3</f>
        <v>4.4344141939431019</v>
      </c>
      <c r="X36" s="13">
        <f>'4.1 Comptes 2023 natures'!X36/'4.1 Comptes 2023 natures'!X3</f>
        <v>0</v>
      </c>
      <c r="Y36" s="13">
        <f>'4.1 Comptes 2023 natures'!Y36/'4.1 Comptes 2023 natures'!Y3</f>
        <v>0</v>
      </c>
      <c r="Z36" s="13">
        <f>'4.1 Comptes 2023 natures'!Z36/'4.1 Comptes 2023 natures'!Z3</f>
        <v>5.8444275274056023</v>
      </c>
      <c r="AA36" s="13">
        <f>'4.1 Comptes 2023 natures'!AA36/'4.1 Comptes 2023 natures'!AA3</f>
        <v>71.179865771812075</v>
      </c>
      <c r="AB36" s="13">
        <f>'4.1 Comptes 2023 natures'!AB36/'4.1 Comptes 2023 natures'!AB3</f>
        <v>29.113137254901961</v>
      </c>
      <c r="AC36" s="13">
        <f>'4.1 Comptes 2023 natures'!AC36/'4.1 Comptes 2023 natures'!AC3</f>
        <v>4.2772535211267604</v>
      </c>
      <c r="AD36" s="13">
        <f>'4.1 Comptes 2023 natures'!AD36/'4.1 Comptes 2023 natures'!AD3</f>
        <v>0</v>
      </c>
      <c r="AE36" s="13">
        <f>'4.1 Comptes 2023 natures'!AE36/'4.1 Comptes 2023 natures'!AE3</f>
        <v>90.347440944881896</v>
      </c>
      <c r="AF36" s="13">
        <f>'4.1 Comptes 2023 natures'!AF36/'4.1 Comptes 2023 natures'!AF3</f>
        <v>11.604445579969342</v>
      </c>
      <c r="AG36" s="13">
        <f>'4.1 Comptes 2023 natures'!AG36/'4.1 Comptes 2023 natures'!AG3</f>
        <v>8.5712422118380065</v>
      </c>
      <c r="AH36" s="13">
        <f>'4.1 Comptes 2023 natures'!AH36/'4.1 Comptes 2023 natures'!AH3</f>
        <v>1.2711297071129708</v>
      </c>
      <c r="AI36" s="13">
        <f>'4.1 Comptes 2023 natures'!AI36/'4.1 Comptes 2023 natures'!AI3</f>
        <v>152.47039999999998</v>
      </c>
      <c r="AJ36" s="13">
        <f>'4.1 Comptes 2023 natures'!AJ36/'4.1 Comptes 2023 natures'!AJ3</f>
        <v>7.4636601992658633</v>
      </c>
      <c r="AK36" s="13">
        <f>'4.1 Comptes 2023 natures'!AK36/'4.1 Comptes 2023 natures'!AK3</f>
        <v>42.990035273368605</v>
      </c>
      <c r="AL36" s="13">
        <f>'4.1 Comptes 2023 natures'!AL36/'4.1 Comptes 2023 natures'!AL3</f>
        <v>26.444763092269326</v>
      </c>
      <c r="AM36" s="13">
        <f>'4.1 Comptes 2023 natures'!AM36/'4.1 Comptes 2023 natures'!AM3</f>
        <v>0</v>
      </c>
      <c r="AN36" s="13">
        <f>'4.1 Comptes 2023 natures'!AN36/'4.1 Comptes 2023 natures'!AN3</f>
        <v>103.24338172502135</v>
      </c>
      <c r="AO36" s="13">
        <f>'4.1 Comptes 2023 natures'!AO36/'4.1 Comptes 2023 natures'!AO3</f>
        <v>21.854732824427483</v>
      </c>
      <c r="AP36" s="13">
        <f>'4.1 Comptes 2023 natures'!AP36/'4.1 Comptes 2023 natures'!AP3</f>
        <v>0</v>
      </c>
      <c r="AQ36" s="13">
        <f>'4.1 Comptes 2023 natures'!AQ36/'4.1 Comptes 2023 natures'!AQ3</f>
        <v>126.75100463678515</v>
      </c>
      <c r="AR36" s="13">
        <f>'4.1 Comptes 2023 natures'!AR36/'4.1 Comptes 2023 natures'!AR3</f>
        <v>6.6411234396671288</v>
      </c>
      <c r="AS36" s="13">
        <f>'4.1 Comptes 2023 natures'!AS36/'4.1 Comptes 2023 natures'!AS3</f>
        <v>46.40910377358491</v>
      </c>
      <c r="AT36" s="13">
        <f>'4.1 Comptes 2023 natures'!AT36/'4.1 Comptes 2023 natures'!AT3</f>
        <v>0</v>
      </c>
      <c r="AU36" s="13">
        <f>'4.1 Comptes 2023 natures'!AU36/'4.1 Comptes 2023 natures'!AU3</f>
        <v>0</v>
      </c>
      <c r="AV36" s="13">
        <f>'4.1 Comptes 2023 natures'!AV36/'4.1 Comptes 2023 natures'!AV3</f>
        <v>17.970736434108527</v>
      </c>
      <c r="AW36" s="13">
        <f>'4.1 Comptes 2023 natures'!AW36/'4.1 Comptes 2023 natures'!AW3</f>
        <v>1.2935261707988981</v>
      </c>
      <c r="AX36" s="13">
        <f>'4.1 Comptes 2023 natures'!AX36/'4.1 Comptes 2023 natures'!AX3</f>
        <v>0</v>
      </c>
      <c r="AY36" s="13">
        <f>'4.1 Comptes 2023 natures'!AY36/'4.1 Comptes 2023 natures'!AY3</f>
        <v>0.58424408014571949</v>
      </c>
      <c r="AZ36" s="13">
        <f>'4.1 Comptes 2023 natures'!AZ36/'4.1 Comptes 2023 natures'!AZ3</f>
        <v>3.4041994750656168</v>
      </c>
      <c r="BA36" s="13">
        <f>'4.1 Comptes 2023 natures'!BA36/'4.1 Comptes 2023 natures'!BA3</f>
        <v>31.353368022705773</v>
      </c>
      <c r="BB36" s="13">
        <f>'4.1 Comptes 2023 natures'!BB36/'4.1 Comptes 2023 natures'!BB3</f>
        <v>44.72583699439479</v>
      </c>
      <c r="BC36" s="13">
        <f>'4.1 Comptes 2023 natures'!BC36/'4.1 Comptes 2023 natures'!BC3</f>
        <v>37.938299817184642</v>
      </c>
      <c r="BD36" s="13">
        <f>'4.1 Comptes 2023 natures'!BD36/'4.1 Comptes 2023 natures'!BD3</f>
        <v>27.580160701829694</v>
      </c>
      <c r="BE36" s="13">
        <f>'4.1 Comptes 2023 natures'!BE36/'4.1 Comptes 2023 natures'!BE3</f>
        <v>27.589644730206754</v>
      </c>
      <c r="BF36" s="13">
        <f>'4.1 Comptes 2023 natures'!BF36/'4.1 Comptes 2023 natures'!BF3</f>
        <v>14.060094008166363</v>
      </c>
      <c r="BG36" s="13">
        <f>'4.1 Comptes 2023 natures'!BG36/'4.1 Comptes 2023 natures'!BG3</f>
        <v>33.410258241983819</v>
      </c>
    </row>
    <row r="37" spans="2:59" x14ac:dyDescent="0.2">
      <c r="C37" s="8">
        <v>344</v>
      </c>
      <c r="D37" s="8" t="s">
        <v>102</v>
      </c>
      <c r="E37" s="13">
        <f>'4.1 Comptes 2023 natures'!E37/'4.1 Comptes 2023 natures'!E3</f>
        <v>0</v>
      </c>
      <c r="F37" s="13">
        <f>'4.1 Comptes 2023 natures'!F37/'4.1 Comptes 2023 natures'!F3</f>
        <v>0</v>
      </c>
      <c r="G37" s="13">
        <f>'4.1 Comptes 2023 natures'!G37/'4.1 Comptes 2023 natures'!G3</f>
        <v>0</v>
      </c>
      <c r="H37" s="13">
        <f>'4.1 Comptes 2023 natures'!H37/'4.1 Comptes 2023 natures'!H3</f>
        <v>0</v>
      </c>
      <c r="I37" s="13">
        <f>'4.1 Comptes 2023 natures'!I37/'4.1 Comptes 2023 natures'!I3</f>
        <v>4.7995636760294516E-2</v>
      </c>
      <c r="J37" s="13">
        <f>'4.1 Comptes 2023 natures'!J37/'4.1 Comptes 2023 natures'!J3</f>
        <v>2.9446407538280331E-3</v>
      </c>
      <c r="K37" s="13">
        <f>'4.1 Comptes 2023 natures'!K37/'4.1 Comptes 2023 natures'!K3</f>
        <v>2.4421989720998534</v>
      </c>
      <c r="L37" s="13">
        <f>'4.1 Comptes 2023 natures'!L37/'4.1 Comptes 2023 natures'!L3</f>
        <v>0</v>
      </c>
      <c r="M37" s="13">
        <f>'4.1 Comptes 2023 natures'!M37/'4.1 Comptes 2023 natures'!M3</f>
        <v>7.2886297376093291E-3</v>
      </c>
      <c r="N37" s="13">
        <f>'4.1 Comptes 2023 natures'!N37/'4.1 Comptes 2023 natures'!N3</f>
        <v>0</v>
      </c>
      <c r="O37" s="13">
        <f>'4.1 Comptes 2023 natures'!O37/'4.1 Comptes 2023 natures'!O3</f>
        <v>0.19872317305080142</v>
      </c>
      <c r="P37" s="13">
        <f>'4.1 Comptes 2023 natures'!P37/'4.1 Comptes 2023 natures'!P3</f>
        <v>0</v>
      </c>
      <c r="Q37" s="13">
        <f>'4.1 Comptes 2023 natures'!Q37/'4.1 Comptes 2023 natures'!Q3</f>
        <v>4.4642857142857144E-2</v>
      </c>
      <c r="R37" s="13">
        <f>'4.1 Comptes 2023 natures'!R37/'4.1 Comptes 2023 natures'!R3</f>
        <v>0</v>
      </c>
      <c r="S37" s="13">
        <f>'4.1 Comptes 2023 natures'!S37/'4.1 Comptes 2023 natures'!S3</f>
        <v>0</v>
      </c>
      <c r="T37" s="13">
        <f>'4.1 Comptes 2023 natures'!T37/'4.1 Comptes 2023 natures'!T3</f>
        <v>2.2272169167803546</v>
      </c>
      <c r="U37" s="13">
        <f>'4.1 Comptes 2023 natures'!U37/'4.1 Comptes 2023 natures'!U3</f>
        <v>0</v>
      </c>
      <c r="V37" s="13">
        <f>'4.1 Comptes 2023 natures'!V37/'4.1 Comptes 2023 natures'!V3</f>
        <v>0</v>
      </c>
      <c r="W37" s="13">
        <f>'4.1 Comptes 2023 natures'!W37/'4.1 Comptes 2023 natures'!W3</f>
        <v>0</v>
      </c>
      <c r="X37" s="13">
        <f>'4.1 Comptes 2023 natures'!X37/'4.1 Comptes 2023 natures'!X3</f>
        <v>0</v>
      </c>
      <c r="Y37" s="13">
        <f>'4.1 Comptes 2023 natures'!Y37/'4.1 Comptes 2023 natures'!Y3</f>
        <v>0.41533546325878595</v>
      </c>
      <c r="Z37" s="13">
        <f>'4.1 Comptes 2023 natures'!Z37/'4.1 Comptes 2023 natures'!Z3</f>
        <v>0</v>
      </c>
      <c r="AA37" s="13">
        <f>'4.1 Comptes 2023 natures'!AA37/'4.1 Comptes 2023 natures'!AA3</f>
        <v>0</v>
      </c>
      <c r="AB37" s="13">
        <f>'4.1 Comptes 2023 natures'!AB37/'4.1 Comptes 2023 natures'!AB3</f>
        <v>0</v>
      </c>
      <c r="AC37" s="13">
        <f>'4.1 Comptes 2023 natures'!AC37/'4.1 Comptes 2023 natures'!AC3</f>
        <v>7.0422535211267607E-3</v>
      </c>
      <c r="AD37" s="13">
        <f>'4.1 Comptes 2023 natures'!AD37/'4.1 Comptes 2023 natures'!AD3</f>
        <v>0</v>
      </c>
      <c r="AE37" s="13">
        <f>'4.1 Comptes 2023 natures'!AE37/'4.1 Comptes 2023 natures'!AE3</f>
        <v>0</v>
      </c>
      <c r="AF37" s="13">
        <f>'4.1 Comptes 2023 natures'!AF37/'4.1 Comptes 2023 natures'!AF3</f>
        <v>78.22537046499744</v>
      </c>
      <c r="AG37" s="13">
        <f>'4.1 Comptes 2023 natures'!AG37/'4.1 Comptes 2023 natures'!AG3</f>
        <v>0</v>
      </c>
      <c r="AH37" s="13">
        <f>'4.1 Comptes 2023 natures'!AH37/'4.1 Comptes 2023 natures'!AH3</f>
        <v>0</v>
      </c>
      <c r="AI37" s="13">
        <f>'4.1 Comptes 2023 natures'!AI37/'4.1 Comptes 2023 natures'!AI3</f>
        <v>2.4</v>
      </c>
      <c r="AJ37" s="13">
        <f>'4.1 Comptes 2023 natures'!AJ37/'4.1 Comptes 2023 natures'!AJ3</f>
        <v>0</v>
      </c>
      <c r="AK37" s="13">
        <f>'4.1 Comptes 2023 natures'!AK37/'4.1 Comptes 2023 natures'!AK3</f>
        <v>0</v>
      </c>
      <c r="AL37" s="13">
        <f>'4.1 Comptes 2023 natures'!AL37/'4.1 Comptes 2023 natures'!AL3</f>
        <v>0.13428927680798006</v>
      </c>
      <c r="AM37" s="13">
        <f>'4.1 Comptes 2023 natures'!AM37/'4.1 Comptes 2023 natures'!AM3</f>
        <v>0</v>
      </c>
      <c r="AN37" s="13">
        <f>'4.1 Comptes 2023 natures'!AN37/'4.1 Comptes 2023 natures'!AN3</f>
        <v>0</v>
      </c>
      <c r="AO37" s="13">
        <f>'4.1 Comptes 2023 natures'!AO37/'4.1 Comptes 2023 natures'!AO3</f>
        <v>0</v>
      </c>
      <c r="AP37" s="13">
        <f>'4.1 Comptes 2023 natures'!AP37/'4.1 Comptes 2023 natures'!AP3</f>
        <v>0</v>
      </c>
      <c r="AQ37" s="13">
        <f>'4.1 Comptes 2023 natures'!AQ37/'4.1 Comptes 2023 natures'!AQ3</f>
        <v>0</v>
      </c>
      <c r="AR37" s="13">
        <f>'4.1 Comptes 2023 natures'!AR37/'4.1 Comptes 2023 natures'!AR3</f>
        <v>0</v>
      </c>
      <c r="AS37" s="13">
        <f>'4.1 Comptes 2023 natures'!AS37/'4.1 Comptes 2023 natures'!AS3</f>
        <v>0</v>
      </c>
      <c r="AT37" s="13">
        <f>'4.1 Comptes 2023 natures'!AT37/'4.1 Comptes 2023 natures'!AT3</f>
        <v>0</v>
      </c>
      <c r="AU37" s="13">
        <f>'4.1 Comptes 2023 natures'!AU37/'4.1 Comptes 2023 natures'!AU3</f>
        <v>0</v>
      </c>
      <c r="AV37" s="13">
        <f>'4.1 Comptes 2023 natures'!AV37/'4.1 Comptes 2023 natures'!AV3</f>
        <v>0</v>
      </c>
      <c r="AW37" s="13">
        <f>'4.1 Comptes 2023 natures'!AW37/'4.1 Comptes 2023 natures'!AW3</f>
        <v>0</v>
      </c>
      <c r="AX37" s="13">
        <f>'4.1 Comptes 2023 natures'!AX37/'4.1 Comptes 2023 natures'!AX3</f>
        <v>0</v>
      </c>
      <c r="AY37" s="13">
        <f>'4.1 Comptes 2023 natures'!AY37/'4.1 Comptes 2023 natures'!AY3</f>
        <v>7.5895567698846381E-2</v>
      </c>
      <c r="AZ37" s="13">
        <f>'4.1 Comptes 2023 natures'!AZ37/'4.1 Comptes 2023 natures'!AZ3</f>
        <v>0</v>
      </c>
      <c r="BA37" s="13">
        <f>'4.1 Comptes 2023 natures'!BA37/'4.1 Comptes 2023 natures'!BA3</f>
        <v>0.12771996215704826</v>
      </c>
      <c r="BB37" s="13">
        <f>'4.1 Comptes 2023 natures'!BB37/'4.1 Comptes 2023 natures'!BB3</f>
        <v>0</v>
      </c>
      <c r="BC37" s="13">
        <f>'4.1 Comptes 2023 natures'!BC37/'4.1 Comptes 2023 natures'!BC3</f>
        <v>0</v>
      </c>
      <c r="BD37" s="13">
        <f>'4.1 Comptes 2023 natures'!BD37/'4.1 Comptes 2023 natures'!BD3</f>
        <v>2.2037170681976712</v>
      </c>
      <c r="BE37" s="13">
        <f>'4.1 Comptes 2023 natures'!BE37/'4.1 Comptes 2023 natures'!BE3</f>
        <v>0.25085980837115479</v>
      </c>
      <c r="BF37" s="13">
        <f>'4.1 Comptes 2023 natures'!BF37/'4.1 Comptes 2023 natures'!BF3</f>
        <v>14.615141012249548</v>
      </c>
      <c r="BG37" s="13">
        <f>'4.1 Comptes 2023 natures'!BG37/'4.1 Comptes 2023 natures'!BG3</f>
        <v>1.7307139631317487E-2</v>
      </c>
    </row>
    <row r="38" spans="2:59" x14ac:dyDescent="0.2">
      <c r="C38" s="8">
        <v>349</v>
      </c>
      <c r="D38" s="8" t="s">
        <v>103</v>
      </c>
      <c r="E38" s="13">
        <f>'4.1 Comptes 2023 natures'!E38/'4.1 Comptes 2023 natures'!E3</f>
        <v>0</v>
      </c>
      <c r="F38" s="13">
        <f>'4.1 Comptes 2023 natures'!F38/'4.1 Comptes 2023 natures'!F3</f>
        <v>1.1494252873563218E-3</v>
      </c>
      <c r="G38" s="13">
        <f>'4.1 Comptes 2023 natures'!G38/'4.1 Comptes 2023 natures'!G3</f>
        <v>0</v>
      </c>
      <c r="H38" s="13">
        <f>'4.1 Comptes 2023 natures'!H38/'4.1 Comptes 2023 natures'!H3</f>
        <v>0</v>
      </c>
      <c r="I38" s="13">
        <f>'4.1 Comptes 2023 natures'!I38/'4.1 Comptes 2023 natures'!I3</f>
        <v>0</v>
      </c>
      <c r="J38" s="13">
        <f>'4.1 Comptes 2023 natures'!J38/'4.1 Comptes 2023 natures'!J3</f>
        <v>0</v>
      </c>
      <c r="K38" s="13">
        <f>'4.1 Comptes 2023 natures'!K38/'4.1 Comptes 2023 natures'!K3</f>
        <v>0</v>
      </c>
      <c r="L38" s="13">
        <f>'4.1 Comptes 2023 natures'!L38/'4.1 Comptes 2023 natures'!L3</f>
        <v>0</v>
      </c>
      <c r="M38" s="13">
        <f>'4.1 Comptes 2023 natures'!M38/'4.1 Comptes 2023 natures'!M3</f>
        <v>1.8950437317784258E-4</v>
      </c>
      <c r="N38" s="13">
        <f>'4.1 Comptes 2023 natures'!N38/'4.1 Comptes 2023 natures'!N3</f>
        <v>0</v>
      </c>
      <c r="O38" s="13">
        <f>'4.1 Comptes 2023 natures'!O38/'4.1 Comptes 2023 natures'!O3</f>
        <v>0</v>
      </c>
      <c r="P38" s="13">
        <f>'4.1 Comptes 2023 natures'!P38/'4.1 Comptes 2023 natures'!P3</f>
        <v>0</v>
      </c>
      <c r="Q38" s="13">
        <f>'4.1 Comptes 2023 natures'!Q38/'4.1 Comptes 2023 natures'!Q3</f>
        <v>0</v>
      </c>
      <c r="R38" s="13">
        <f>'4.1 Comptes 2023 natures'!R38/'4.1 Comptes 2023 natures'!R3</f>
        <v>0</v>
      </c>
      <c r="S38" s="13">
        <f>'4.1 Comptes 2023 natures'!S38/'4.1 Comptes 2023 natures'!S3</f>
        <v>0</v>
      </c>
      <c r="T38" s="13">
        <f>'4.1 Comptes 2023 natures'!T38/'4.1 Comptes 2023 natures'!T3</f>
        <v>0</v>
      </c>
      <c r="U38" s="13">
        <f>'4.1 Comptes 2023 natures'!U38/'4.1 Comptes 2023 natures'!U3</f>
        <v>0</v>
      </c>
      <c r="V38" s="13">
        <f>'4.1 Comptes 2023 natures'!V38/'4.1 Comptes 2023 natures'!V3</f>
        <v>0</v>
      </c>
      <c r="W38" s="13">
        <f>'4.1 Comptes 2023 natures'!W38/'4.1 Comptes 2023 natures'!W3</f>
        <v>2.9060874885286019E-2</v>
      </c>
      <c r="X38" s="13">
        <f>'4.1 Comptes 2023 natures'!X38/'4.1 Comptes 2023 natures'!X3</f>
        <v>9.2386885245901649</v>
      </c>
      <c r="Y38" s="13">
        <f>'4.1 Comptes 2023 natures'!Y38/'4.1 Comptes 2023 natures'!Y3</f>
        <v>0</v>
      </c>
      <c r="Z38" s="13">
        <f>'4.1 Comptes 2023 natures'!Z38/'4.1 Comptes 2023 natures'!Z3</f>
        <v>0</v>
      </c>
      <c r="AA38" s="13">
        <f>'4.1 Comptes 2023 natures'!AA38/'4.1 Comptes 2023 natures'!AA3</f>
        <v>9.441006711409397</v>
      </c>
      <c r="AB38" s="13">
        <f>'4.1 Comptes 2023 natures'!AB38/'4.1 Comptes 2023 natures'!AB3</f>
        <v>0</v>
      </c>
      <c r="AC38" s="13">
        <f>'4.1 Comptes 2023 natures'!AC38/'4.1 Comptes 2023 natures'!AC3</f>
        <v>0</v>
      </c>
      <c r="AD38" s="13">
        <f>'4.1 Comptes 2023 natures'!AD38/'4.1 Comptes 2023 natures'!AD3</f>
        <v>0</v>
      </c>
      <c r="AE38" s="13">
        <f>'4.1 Comptes 2023 natures'!AE38/'4.1 Comptes 2023 natures'!AE3</f>
        <v>3.8385826771653545E-2</v>
      </c>
      <c r="AF38" s="13">
        <f>'4.1 Comptes 2023 natures'!AF38/'4.1 Comptes 2023 natures'!AF3</f>
        <v>4.9259070005109864E-3</v>
      </c>
      <c r="AG38" s="13">
        <f>'4.1 Comptes 2023 natures'!AG38/'4.1 Comptes 2023 natures'!AG3</f>
        <v>0</v>
      </c>
      <c r="AH38" s="13">
        <f>'4.1 Comptes 2023 natures'!AH38/'4.1 Comptes 2023 natures'!AH3</f>
        <v>0</v>
      </c>
      <c r="AI38" s="13">
        <f>'4.1 Comptes 2023 natures'!AI38/'4.1 Comptes 2023 natures'!AI3</f>
        <v>0</v>
      </c>
      <c r="AJ38" s="13">
        <f>'4.1 Comptes 2023 natures'!AJ38/'4.1 Comptes 2023 natures'!AJ3</f>
        <v>0</v>
      </c>
      <c r="AK38" s="13">
        <f>'4.1 Comptes 2023 natures'!AK38/'4.1 Comptes 2023 natures'!AK3</f>
        <v>7.0399470899470904</v>
      </c>
      <c r="AL38" s="13">
        <f>'4.1 Comptes 2023 natures'!AL38/'4.1 Comptes 2023 natures'!AL3</f>
        <v>0</v>
      </c>
      <c r="AM38" s="13">
        <f>'4.1 Comptes 2023 natures'!AM38/'4.1 Comptes 2023 natures'!AM3</f>
        <v>8.1834821428571427</v>
      </c>
      <c r="AN38" s="13">
        <f>'4.1 Comptes 2023 natures'!AN38/'4.1 Comptes 2023 natures'!AN3</f>
        <v>0</v>
      </c>
      <c r="AO38" s="13">
        <f>'4.1 Comptes 2023 natures'!AO38/'4.1 Comptes 2023 natures'!AO3</f>
        <v>5.9038167938931299</v>
      </c>
      <c r="AP38" s="13">
        <f>'4.1 Comptes 2023 natures'!AP38/'4.1 Comptes 2023 natures'!AP3</f>
        <v>0</v>
      </c>
      <c r="AQ38" s="13">
        <f>'4.1 Comptes 2023 natures'!AQ38/'4.1 Comptes 2023 natures'!AQ3</f>
        <v>0</v>
      </c>
      <c r="AR38" s="13">
        <f>'4.1 Comptes 2023 natures'!AR38/'4.1 Comptes 2023 natures'!AR3</f>
        <v>2.8083217753120664</v>
      </c>
      <c r="AS38" s="13">
        <f>'4.1 Comptes 2023 natures'!AS38/'4.1 Comptes 2023 natures'!AS3</f>
        <v>0</v>
      </c>
      <c r="AT38" s="13">
        <f>'4.1 Comptes 2023 natures'!AT38/'4.1 Comptes 2023 natures'!AT3</f>
        <v>0</v>
      </c>
      <c r="AU38" s="13">
        <f>'4.1 Comptes 2023 natures'!AU38/'4.1 Comptes 2023 natures'!AU3</f>
        <v>0</v>
      </c>
      <c r="AV38" s="13">
        <f>'4.1 Comptes 2023 natures'!AV38/'4.1 Comptes 2023 natures'!AV3</f>
        <v>2.3966408268733853E-2</v>
      </c>
      <c r="AW38" s="13">
        <f>'4.1 Comptes 2023 natures'!AW38/'4.1 Comptes 2023 natures'!AW3</f>
        <v>4.5856749311294767</v>
      </c>
      <c r="AX38" s="13">
        <f>'4.1 Comptes 2023 natures'!AX38/'4.1 Comptes 2023 natures'!AX3</f>
        <v>0</v>
      </c>
      <c r="AY38" s="13">
        <f>'4.1 Comptes 2023 natures'!AY38/'4.1 Comptes 2023 natures'!AY3</f>
        <v>0</v>
      </c>
      <c r="AZ38" s="13">
        <f>'4.1 Comptes 2023 natures'!AZ38/'4.1 Comptes 2023 natures'!AZ3</f>
        <v>0</v>
      </c>
      <c r="BA38" s="13">
        <f>'4.1 Comptes 2023 natures'!BA38/'4.1 Comptes 2023 natures'!BA3</f>
        <v>0</v>
      </c>
      <c r="BB38" s="13">
        <f>'4.1 Comptes 2023 natures'!BB38/'4.1 Comptes 2023 natures'!BB3</f>
        <v>0</v>
      </c>
      <c r="BC38" s="13">
        <f>'4.1 Comptes 2023 natures'!BC38/'4.1 Comptes 2023 natures'!BC3</f>
        <v>4.9191042047531992</v>
      </c>
      <c r="BD38" s="13">
        <f>'4.1 Comptes 2023 natures'!BD38/'4.1 Comptes 2023 natures'!BD3</f>
        <v>0.31543113161989583</v>
      </c>
      <c r="BE38" s="13">
        <f>'4.1 Comptes 2023 natures'!BE38/'4.1 Comptes 2023 natures'!BE3</f>
        <v>2.4094805849722645E-3</v>
      </c>
      <c r="BF38" s="13">
        <f>'4.1 Comptes 2023 natures'!BF38/'4.1 Comptes 2023 natures'!BF3</f>
        <v>0.40391700693191535</v>
      </c>
      <c r="BG38" s="13">
        <f>'4.1 Comptes 2023 natures'!BG38/'4.1 Comptes 2023 natures'!BG3</f>
        <v>0.78686004023484002</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9.5416753381893855</v>
      </c>
      <c r="F40" s="76">
        <f t="shared" ref="F40:BG40" si="5">F41+F42</f>
        <v>71.98176245210729</v>
      </c>
      <c r="G40" s="76">
        <f t="shared" si="5"/>
        <v>129.95445344129556</v>
      </c>
      <c r="H40" s="76">
        <f t="shared" si="5"/>
        <v>0</v>
      </c>
      <c r="I40" s="76">
        <f t="shared" si="5"/>
        <v>118.16118352877011</v>
      </c>
      <c r="J40" s="76">
        <f t="shared" si="5"/>
        <v>56.504932273262661</v>
      </c>
      <c r="K40" s="76">
        <f t="shared" si="5"/>
        <v>78.709875183553606</v>
      </c>
      <c r="L40" s="76">
        <f t="shared" si="5"/>
        <v>0</v>
      </c>
      <c r="M40" s="76">
        <f t="shared" si="5"/>
        <v>75.949118075801749</v>
      </c>
      <c r="N40" s="76">
        <f t="shared" si="5"/>
        <v>81.196581196581192</v>
      </c>
      <c r="O40" s="76">
        <f t="shared" si="5"/>
        <v>137.89810513447432</v>
      </c>
      <c r="P40" s="76">
        <f t="shared" si="5"/>
        <v>0</v>
      </c>
      <c r="Q40" s="76">
        <f t="shared" si="5"/>
        <v>0</v>
      </c>
      <c r="R40" s="76">
        <f t="shared" si="5"/>
        <v>300.88095238095241</v>
      </c>
      <c r="S40" s="76">
        <f t="shared" si="5"/>
        <v>280.30945558739256</v>
      </c>
      <c r="T40" s="76">
        <f t="shared" si="5"/>
        <v>128.77762619372442</v>
      </c>
      <c r="U40" s="76">
        <f t="shared" si="5"/>
        <v>17.613369963369962</v>
      </c>
      <c r="V40" s="76">
        <f t="shared" si="5"/>
        <v>0</v>
      </c>
      <c r="W40" s="76">
        <f t="shared" si="5"/>
        <v>0</v>
      </c>
      <c r="X40" s="76">
        <f t="shared" si="5"/>
        <v>169.87573770491804</v>
      </c>
      <c r="Y40" s="76">
        <f t="shared" si="5"/>
        <v>1.2494808306709264</v>
      </c>
      <c r="Z40" s="76">
        <f t="shared" si="5"/>
        <v>82.752509135200967</v>
      </c>
      <c r="AA40" s="76">
        <f t="shared" si="5"/>
        <v>40.744966442953022</v>
      </c>
      <c r="AB40" s="76">
        <f t="shared" si="5"/>
        <v>134.97647058823529</v>
      </c>
      <c r="AC40" s="76">
        <f t="shared" si="5"/>
        <v>9.2774647887323951</v>
      </c>
      <c r="AD40" s="76">
        <f t="shared" si="5"/>
        <v>6.8518374558303883</v>
      </c>
      <c r="AE40" s="76">
        <f t="shared" si="5"/>
        <v>39.876870078740161</v>
      </c>
      <c r="AF40" s="76">
        <f t="shared" si="5"/>
        <v>35.081476750127742</v>
      </c>
      <c r="AG40" s="76">
        <f t="shared" si="5"/>
        <v>43.720257009345794</v>
      </c>
      <c r="AH40" s="76">
        <f t="shared" si="5"/>
        <v>4.785774058577406</v>
      </c>
      <c r="AI40" s="76">
        <f t="shared" si="5"/>
        <v>28.245999999999999</v>
      </c>
      <c r="AJ40" s="76">
        <f t="shared" si="5"/>
        <v>120.01811746198217</v>
      </c>
      <c r="AK40" s="76">
        <f t="shared" si="5"/>
        <v>153.74091710758378</v>
      </c>
      <c r="AL40" s="76">
        <f t="shared" si="5"/>
        <v>66.798686616791358</v>
      </c>
      <c r="AM40" s="76">
        <f t="shared" si="5"/>
        <v>0</v>
      </c>
      <c r="AN40" s="76">
        <f t="shared" si="5"/>
        <v>0</v>
      </c>
      <c r="AO40" s="76">
        <f t="shared" si="5"/>
        <v>20.302</v>
      </c>
      <c r="AP40" s="76">
        <f t="shared" si="5"/>
        <v>3.4469096671949289</v>
      </c>
      <c r="AQ40" s="76">
        <f t="shared" si="5"/>
        <v>94.80200927357032</v>
      </c>
      <c r="AR40" s="76">
        <f t="shared" si="5"/>
        <v>27.249445214979193</v>
      </c>
      <c r="AS40" s="76">
        <f t="shared" si="5"/>
        <v>153.36216981132074</v>
      </c>
      <c r="AT40" s="76">
        <f t="shared" si="5"/>
        <v>80.559713375796179</v>
      </c>
      <c r="AU40" s="76">
        <f t="shared" si="5"/>
        <v>92.758242967794544</v>
      </c>
      <c r="AV40" s="76">
        <f t="shared" si="5"/>
        <v>17.989664082687337</v>
      </c>
      <c r="AW40" s="76">
        <f t="shared" si="5"/>
        <v>103.45732782369146</v>
      </c>
      <c r="AX40" s="76">
        <f t="shared" si="5"/>
        <v>0.7675301204819277</v>
      </c>
      <c r="AY40" s="76">
        <f t="shared" si="5"/>
        <v>4.4479052823315115</v>
      </c>
      <c r="AZ40" s="76">
        <f t="shared" si="5"/>
        <v>417.79708661417322</v>
      </c>
      <c r="BA40" s="76">
        <f t="shared" si="5"/>
        <v>22.154512771996217</v>
      </c>
      <c r="BB40" s="76">
        <f t="shared" si="5"/>
        <v>149.50386305105286</v>
      </c>
      <c r="BC40" s="76">
        <f t="shared" si="5"/>
        <v>13.614351005484462</v>
      </c>
      <c r="BD40" s="76">
        <f t="shared" si="5"/>
        <v>69.180807130976007</v>
      </c>
      <c r="BE40" s="76">
        <f t="shared" si="5"/>
        <v>60.112362329803325</v>
      </c>
      <c r="BF40" s="76">
        <f t="shared" si="5"/>
        <v>45.626272908555698</v>
      </c>
      <c r="BG40" s="76">
        <f t="shared" si="5"/>
        <v>94.130814139672367</v>
      </c>
    </row>
    <row r="41" spans="2:59" x14ac:dyDescent="0.2">
      <c r="C41" s="8">
        <v>350</v>
      </c>
      <c r="D41" s="8" t="s">
        <v>105</v>
      </c>
      <c r="E41" s="13">
        <f>'4.1 Comptes 2023 natures'!E41/'4.1 Comptes 2023 natures'!E3</f>
        <v>0</v>
      </c>
      <c r="F41" s="13">
        <f>'4.1 Comptes 2023 natures'!F41/'4.1 Comptes 2023 natures'!F3</f>
        <v>0</v>
      </c>
      <c r="G41" s="13">
        <f>'4.1 Comptes 2023 natures'!G41/'4.1 Comptes 2023 natures'!G3</f>
        <v>0</v>
      </c>
      <c r="H41" s="13">
        <f>'4.1 Comptes 2023 natures'!H41/'4.1 Comptes 2023 natures'!H3</f>
        <v>0</v>
      </c>
      <c r="I41" s="13">
        <f>'4.1 Comptes 2023 natures'!I41/'4.1 Comptes 2023 natures'!I3</f>
        <v>0</v>
      </c>
      <c r="J41" s="13">
        <f>'4.1 Comptes 2023 natures'!J41/'4.1 Comptes 2023 natures'!J3</f>
        <v>0</v>
      </c>
      <c r="K41" s="13">
        <f>'4.1 Comptes 2023 natures'!K41/'4.1 Comptes 2023 natures'!K3</f>
        <v>0</v>
      </c>
      <c r="L41" s="13">
        <f>'4.1 Comptes 2023 natures'!L41/'4.1 Comptes 2023 natures'!L3</f>
        <v>0</v>
      </c>
      <c r="M41" s="13">
        <f>'4.1 Comptes 2023 natures'!M41/'4.1 Comptes 2023 natures'!M3</f>
        <v>0</v>
      </c>
      <c r="N41" s="13">
        <f>'4.1 Comptes 2023 natures'!N41/'4.1 Comptes 2023 natures'!N3</f>
        <v>81.196581196581192</v>
      </c>
      <c r="O41" s="13">
        <f>'4.1 Comptes 2023 natures'!O41/'4.1 Comptes 2023 natures'!O3</f>
        <v>0</v>
      </c>
      <c r="P41" s="13">
        <f>'4.1 Comptes 2023 natures'!P41/'4.1 Comptes 2023 natures'!P3</f>
        <v>0</v>
      </c>
      <c r="Q41" s="13">
        <f>'4.1 Comptes 2023 natures'!Q41/'4.1 Comptes 2023 natures'!Q3</f>
        <v>0</v>
      </c>
      <c r="R41" s="13">
        <f>'4.1 Comptes 2023 natures'!R41/'4.1 Comptes 2023 natures'!R3</f>
        <v>0</v>
      </c>
      <c r="S41" s="13">
        <f>'4.1 Comptes 2023 natures'!S41/'4.1 Comptes 2023 natures'!S3</f>
        <v>280.30945558739256</v>
      </c>
      <c r="T41" s="13">
        <f>'4.1 Comptes 2023 natures'!T41/'4.1 Comptes 2023 natures'!T3</f>
        <v>0</v>
      </c>
      <c r="U41" s="13">
        <f>'4.1 Comptes 2023 natures'!U41/'4.1 Comptes 2023 natures'!U3</f>
        <v>0</v>
      </c>
      <c r="V41" s="13">
        <f>'4.1 Comptes 2023 natures'!V41/'4.1 Comptes 2023 natures'!V3</f>
        <v>0</v>
      </c>
      <c r="W41" s="13">
        <f>'4.1 Comptes 2023 natures'!W41/'4.1 Comptes 2023 natures'!W3</f>
        <v>0</v>
      </c>
      <c r="X41" s="13">
        <f>'4.1 Comptes 2023 natures'!X41/'4.1 Comptes 2023 natures'!X3</f>
        <v>0</v>
      </c>
      <c r="Y41" s="13">
        <f>'4.1 Comptes 2023 natures'!Y41/'4.1 Comptes 2023 natures'!Y3</f>
        <v>0</v>
      </c>
      <c r="Z41" s="13">
        <f>'4.1 Comptes 2023 natures'!Z41/'4.1 Comptes 2023 natures'!Z3</f>
        <v>0</v>
      </c>
      <c r="AA41" s="13">
        <f>'4.1 Comptes 2023 natures'!AA41/'4.1 Comptes 2023 natures'!AA3</f>
        <v>0</v>
      </c>
      <c r="AB41" s="13">
        <f>'4.1 Comptes 2023 natures'!AB41/'4.1 Comptes 2023 natures'!AB3</f>
        <v>0</v>
      </c>
      <c r="AC41" s="13">
        <f>'4.1 Comptes 2023 natures'!AC41/'4.1 Comptes 2023 natures'!AC3</f>
        <v>0</v>
      </c>
      <c r="AD41" s="13">
        <f>'4.1 Comptes 2023 natures'!AD41/'4.1 Comptes 2023 natures'!AD3</f>
        <v>0</v>
      </c>
      <c r="AE41" s="13">
        <f>'4.1 Comptes 2023 natures'!AE41/'4.1 Comptes 2023 natures'!AE3</f>
        <v>0</v>
      </c>
      <c r="AF41" s="13">
        <f>'4.1 Comptes 2023 natures'!AF41/'4.1 Comptes 2023 natures'!AF3</f>
        <v>0</v>
      </c>
      <c r="AG41" s="13">
        <f>'4.1 Comptes 2023 natures'!AG41/'4.1 Comptes 2023 natures'!AG3</f>
        <v>0</v>
      </c>
      <c r="AH41" s="13">
        <f>'4.1 Comptes 2023 natures'!AH41/'4.1 Comptes 2023 natures'!AH3</f>
        <v>0</v>
      </c>
      <c r="AI41" s="13">
        <f>'4.1 Comptes 2023 natures'!AI41/'4.1 Comptes 2023 natures'!AI3</f>
        <v>0</v>
      </c>
      <c r="AJ41" s="13">
        <f>'4.1 Comptes 2023 natures'!AJ41/'4.1 Comptes 2023 natures'!AJ3</f>
        <v>0</v>
      </c>
      <c r="AK41" s="13">
        <f>'4.1 Comptes 2023 natures'!AK41/'4.1 Comptes 2023 natures'!AK3</f>
        <v>0</v>
      </c>
      <c r="AL41" s="13">
        <f>'4.1 Comptes 2023 natures'!AL41/'4.1 Comptes 2023 natures'!AL3</f>
        <v>0</v>
      </c>
      <c r="AM41" s="13">
        <f>'4.1 Comptes 2023 natures'!AM41/'4.1 Comptes 2023 natures'!AM3</f>
        <v>0</v>
      </c>
      <c r="AN41" s="13">
        <f>'4.1 Comptes 2023 natures'!AN41/'4.1 Comptes 2023 natures'!AN3</f>
        <v>0</v>
      </c>
      <c r="AO41" s="13">
        <f>'4.1 Comptes 2023 natures'!AO41/'4.1 Comptes 2023 natures'!AO3</f>
        <v>0</v>
      </c>
      <c r="AP41" s="13">
        <f>'4.1 Comptes 2023 natures'!AP41/'4.1 Comptes 2023 natures'!AP3</f>
        <v>0</v>
      </c>
      <c r="AQ41" s="13">
        <f>'4.1 Comptes 2023 natures'!AQ41/'4.1 Comptes 2023 natures'!AQ3</f>
        <v>0</v>
      </c>
      <c r="AR41" s="13">
        <f>'4.1 Comptes 2023 natures'!AR41/'4.1 Comptes 2023 natures'!AR3</f>
        <v>0</v>
      </c>
      <c r="AS41" s="13">
        <f>'4.1 Comptes 2023 natures'!AS41/'4.1 Comptes 2023 natures'!AS3</f>
        <v>6.3254716981132075</v>
      </c>
      <c r="AT41" s="13">
        <f>'4.1 Comptes 2023 natures'!AT41/'4.1 Comptes 2023 natures'!AT3</f>
        <v>0</v>
      </c>
      <c r="AU41" s="13">
        <f>'4.1 Comptes 2023 natures'!AU41/'4.1 Comptes 2023 natures'!AU3</f>
        <v>6.3978516102731353</v>
      </c>
      <c r="AV41" s="13">
        <f>'4.1 Comptes 2023 natures'!AV41/'4.1 Comptes 2023 natures'!AV3</f>
        <v>0</v>
      </c>
      <c r="AW41" s="13">
        <f>'4.1 Comptes 2023 natures'!AW41/'4.1 Comptes 2023 natures'!AW3</f>
        <v>0.37388429752066116</v>
      </c>
      <c r="AX41" s="13">
        <f>'4.1 Comptes 2023 natures'!AX41/'4.1 Comptes 2023 natures'!AX3</f>
        <v>0</v>
      </c>
      <c r="AY41" s="13">
        <f>'4.1 Comptes 2023 natures'!AY41/'4.1 Comptes 2023 natures'!AY3</f>
        <v>0</v>
      </c>
      <c r="AZ41" s="13">
        <f>'4.1 Comptes 2023 natures'!AZ41/'4.1 Comptes 2023 natures'!AZ3</f>
        <v>0</v>
      </c>
      <c r="BA41" s="13">
        <f>'4.1 Comptes 2023 natures'!BA41/'4.1 Comptes 2023 natures'!BA3</f>
        <v>0</v>
      </c>
      <c r="BB41" s="13">
        <f>'4.1 Comptes 2023 natures'!BB41/'4.1 Comptes 2023 natures'!BB3</f>
        <v>0</v>
      </c>
      <c r="BC41" s="13">
        <f>'4.1 Comptes 2023 natures'!BC41/'4.1 Comptes 2023 natures'!BC3</f>
        <v>0</v>
      </c>
      <c r="BD41" s="13">
        <f>'4.1 Comptes 2023 natures'!BD41/'4.1 Comptes 2023 natures'!BD3</f>
        <v>1.7420004560819873</v>
      </c>
      <c r="BE41" s="13">
        <f>'4.1 Comptes 2023 natures'!BE41/'4.1 Comptes 2023 natures'!BE3</f>
        <v>2.7062027231467471</v>
      </c>
      <c r="BF41" s="13">
        <f>'4.1 Comptes 2023 natures'!BF41/'4.1 Comptes 2023 natures'!BF3</f>
        <v>0</v>
      </c>
      <c r="BG41" s="13">
        <f>'4.1 Comptes 2023 natures'!BG41/'4.1 Comptes 2023 natures'!BG3</f>
        <v>0.92518167261978079</v>
      </c>
    </row>
    <row r="42" spans="2:59" x14ac:dyDescent="0.2">
      <c r="C42" s="8">
        <v>351</v>
      </c>
      <c r="D42" s="8" t="s">
        <v>104</v>
      </c>
      <c r="E42" s="13">
        <f>'4.1 Comptes 2023 natures'!E42/'4.1 Comptes 2023 natures'!E3</f>
        <v>9.5416753381893855</v>
      </c>
      <c r="F42" s="13">
        <f>'4.1 Comptes 2023 natures'!F42/'4.1 Comptes 2023 natures'!F3</f>
        <v>71.98176245210729</v>
      </c>
      <c r="G42" s="13">
        <f>'4.1 Comptes 2023 natures'!G42/'4.1 Comptes 2023 natures'!G3</f>
        <v>129.95445344129556</v>
      </c>
      <c r="H42" s="13">
        <f>'4.1 Comptes 2023 natures'!H42/'4.1 Comptes 2023 natures'!H3</f>
        <v>0</v>
      </c>
      <c r="I42" s="13">
        <f>'4.1 Comptes 2023 natures'!I42/'4.1 Comptes 2023 natures'!I3</f>
        <v>118.16118352877011</v>
      </c>
      <c r="J42" s="13">
        <f>'4.1 Comptes 2023 natures'!J42/'4.1 Comptes 2023 natures'!J3</f>
        <v>56.504932273262661</v>
      </c>
      <c r="K42" s="13">
        <f>'4.1 Comptes 2023 natures'!K42/'4.1 Comptes 2023 natures'!K3</f>
        <v>78.709875183553606</v>
      </c>
      <c r="L42" s="13">
        <f>'4.1 Comptes 2023 natures'!L42/'4.1 Comptes 2023 natures'!L3</f>
        <v>0</v>
      </c>
      <c r="M42" s="13">
        <f>'4.1 Comptes 2023 natures'!M42/'4.1 Comptes 2023 natures'!M3</f>
        <v>75.949118075801749</v>
      </c>
      <c r="N42" s="13">
        <f>'4.1 Comptes 2023 natures'!N42/'4.1 Comptes 2023 natures'!N3</f>
        <v>0</v>
      </c>
      <c r="O42" s="13">
        <f>'4.1 Comptes 2023 natures'!O42/'4.1 Comptes 2023 natures'!O3</f>
        <v>137.89810513447432</v>
      </c>
      <c r="P42" s="13">
        <f>'4.1 Comptes 2023 natures'!P42/'4.1 Comptes 2023 natures'!P3</f>
        <v>0</v>
      </c>
      <c r="Q42" s="13">
        <f>'4.1 Comptes 2023 natures'!Q42/'4.1 Comptes 2023 natures'!Q3</f>
        <v>0</v>
      </c>
      <c r="R42" s="13">
        <f>'4.1 Comptes 2023 natures'!R42/'4.1 Comptes 2023 natures'!R3</f>
        <v>300.88095238095241</v>
      </c>
      <c r="S42" s="13">
        <f>'4.1 Comptes 2023 natures'!S42/'4.1 Comptes 2023 natures'!S3</f>
        <v>0</v>
      </c>
      <c r="T42" s="13">
        <f>'4.1 Comptes 2023 natures'!T42/'4.1 Comptes 2023 natures'!T3</f>
        <v>128.77762619372442</v>
      </c>
      <c r="U42" s="13">
        <f>'4.1 Comptes 2023 natures'!U42/'4.1 Comptes 2023 natures'!U3</f>
        <v>17.613369963369962</v>
      </c>
      <c r="V42" s="13">
        <f>'4.1 Comptes 2023 natures'!V42/'4.1 Comptes 2023 natures'!V3</f>
        <v>0</v>
      </c>
      <c r="W42" s="13">
        <f>'4.1 Comptes 2023 natures'!W42/'4.1 Comptes 2023 natures'!W3</f>
        <v>0</v>
      </c>
      <c r="X42" s="13">
        <f>'4.1 Comptes 2023 natures'!X42/'4.1 Comptes 2023 natures'!X3</f>
        <v>169.87573770491804</v>
      </c>
      <c r="Y42" s="13">
        <f>'4.1 Comptes 2023 natures'!Y42/'4.1 Comptes 2023 natures'!Y3</f>
        <v>1.2494808306709264</v>
      </c>
      <c r="Z42" s="13">
        <f>'4.1 Comptes 2023 natures'!Z42/'4.1 Comptes 2023 natures'!Z3</f>
        <v>82.752509135200967</v>
      </c>
      <c r="AA42" s="13">
        <f>'4.1 Comptes 2023 natures'!AA42/'4.1 Comptes 2023 natures'!AA3</f>
        <v>40.744966442953022</v>
      </c>
      <c r="AB42" s="13">
        <f>'4.1 Comptes 2023 natures'!AB42/'4.1 Comptes 2023 natures'!AB3</f>
        <v>134.97647058823529</v>
      </c>
      <c r="AC42" s="13">
        <f>'4.1 Comptes 2023 natures'!AC42/'4.1 Comptes 2023 natures'!AC3</f>
        <v>9.2774647887323951</v>
      </c>
      <c r="AD42" s="13">
        <f>'4.1 Comptes 2023 natures'!AD42/'4.1 Comptes 2023 natures'!AD3</f>
        <v>6.8518374558303883</v>
      </c>
      <c r="AE42" s="13">
        <f>'4.1 Comptes 2023 natures'!AE42/'4.1 Comptes 2023 natures'!AE3</f>
        <v>39.876870078740161</v>
      </c>
      <c r="AF42" s="13">
        <f>'4.1 Comptes 2023 natures'!AF42/'4.1 Comptes 2023 natures'!AF3</f>
        <v>35.081476750127742</v>
      </c>
      <c r="AG42" s="13">
        <f>'4.1 Comptes 2023 natures'!AG42/'4.1 Comptes 2023 natures'!AG3</f>
        <v>43.720257009345794</v>
      </c>
      <c r="AH42" s="13">
        <f>'4.1 Comptes 2023 natures'!AH42/'4.1 Comptes 2023 natures'!AH3</f>
        <v>4.785774058577406</v>
      </c>
      <c r="AI42" s="13">
        <f>'4.1 Comptes 2023 natures'!AI42/'4.1 Comptes 2023 natures'!AI3</f>
        <v>28.245999999999999</v>
      </c>
      <c r="AJ42" s="13">
        <f>'4.1 Comptes 2023 natures'!AJ42/'4.1 Comptes 2023 natures'!AJ3</f>
        <v>120.01811746198217</v>
      </c>
      <c r="AK42" s="13">
        <f>'4.1 Comptes 2023 natures'!AK42/'4.1 Comptes 2023 natures'!AK3</f>
        <v>153.74091710758378</v>
      </c>
      <c r="AL42" s="13">
        <f>'4.1 Comptes 2023 natures'!AL42/'4.1 Comptes 2023 natures'!AL3</f>
        <v>66.798686616791358</v>
      </c>
      <c r="AM42" s="13">
        <f>'4.1 Comptes 2023 natures'!AM42/'4.1 Comptes 2023 natures'!AM3</f>
        <v>0</v>
      </c>
      <c r="AN42" s="13">
        <f>'4.1 Comptes 2023 natures'!AN42/'4.1 Comptes 2023 natures'!AN3</f>
        <v>0</v>
      </c>
      <c r="AO42" s="13">
        <f>'4.1 Comptes 2023 natures'!AO42/'4.1 Comptes 2023 natures'!AO3</f>
        <v>20.302</v>
      </c>
      <c r="AP42" s="13">
        <f>'4.1 Comptes 2023 natures'!AP42/'4.1 Comptes 2023 natures'!AP3</f>
        <v>3.4469096671949289</v>
      </c>
      <c r="AQ42" s="13">
        <f>'4.1 Comptes 2023 natures'!AQ42/'4.1 Comptes 2023 natures'!AQ3</f>
        <v>94.80200927357032</v>
      </c>
      <c r="AR42" s="13">
        <f>'4.1 Comptes 2023 natures'!AR42/'4.1 Comptes 2023 natures'!AR3</f>
        <v>27.249445214979193</v>
      </c>
      <c r="AS42" s="13">
        <f>'4.1 Comptes 2023 natures'!AS42/'4.1 Comptes 2023 natures'!AS3</f>
        <v>147.03669811320754</v>
      </c>
      <c r="AT42" s="13">
        <f>'4.1 Comptes 2023 natures'!AT42/'4.1 Comptes 2023 natures'!AT3</f>
        <v>80.559713375796179</v>
      </c>
      <c r="AU42" s="13">
        <f>'4.1 Comptes 2023 natures'!AU42/'4.1 Comptes 2023 natures'!AU3</f>
        <v>86.360391357521408</v>
      </c>
      <c r="AV42" s="13">
        <f>'4.1 Comptes 2023 natures'!AV42/'4.1 Comptes 2023 natures'!AV3</f>
        <v>17.989664082687337</v>
      </c>
      <c r="AW42" s="13">
        <f>'4.1 Comptes 2023 natures'!AW42/'4.1 Comptes 2023 natures'!AW3</f>
        <v>103.0834435261708</v>
      </c>
      <c r="AX42" s="13">
        <f>'4.1 Comptes 2023 natures'!AX42/'4.1 Comptes 2023 natures'!AX3</f>
        <v>0.7675301204819277</v>
      </c>
      <c r="AY42" s="13">
        <f>'4.1 Comptes 2023 natures'!AY42/'4.1 Comptes 2023 natures'!AY3</f>
        <v>4.4479052823315115</v>
      </c>
      <c r="AZ42" s="13">
        <f>'4.1 Comptes 2023 natures'!AZ42/'4.1 Comptes 2023 natures'!AZ3</f>
        <v>417.79708661417322</v>
      </c>
      <c r="BA42" s="13">
        <f>'4.1 Comptes 2023 natures'!BA42/'4.1 Comptes 2023 natures'!BA3</f>
        <v>22.154512771996217</v>
      </c>
      <c r="BB42" s="13">
        <f>'4.1 Comptes 2023 natures'!BB42/'4.1 Comptes 2023 natures'!BB3</f>
        <v>149.50386305105286</v>
      </c>
      <c r="BC42" s="13">
        <f>'4.1 Comptes 2023 natures'!BC42/'4.1 Comptes 2023 natures'!BC3</f>
        <v>13.614351005484462</v>
      </c>
      <c r="BD42" s="13">
        <f>'4.1 Comptes 2023 natures'!BD42/'4.1 Comptes 2023 natures'!BD3</f>
        <v>67.438806674894025</v>
      </c>
      <c r="BE42" s="13">
        <f>'4.1 Comptes 2023 natures'!BE42/'4.1 Comptes 2023 natures'!BE3</f>
        <v>57.40615960665658</v>
      </c>
      <c r="BF42" s="13">
        <f>'4.1 Comptes 2023 natures'!BF42/'4.1 Comptes 2023 natures'!BF3</f>
        <v>45.626272908555698</v>
      </c>
      <c r="BG42" s="13">
        <f>'4.1 Comptes 2023 natures'!BG42/'4.1 Comptes 2023 natures'!BG3</f>
        <v>93.205632467052581</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2440.7526118626433</v>
      </c>
      <c r="F44" s="76">
        <f t="shared" ref="F44:BG44" si="6">F45+F46+F47+F48+F49+F50+F51+F52</f>
        <v>2505.8727969348661</v>
      </c>
      <c r="G44" s="76">
        <f t="shared" si="6"/>
        <v>2201.2087044534414</v>
      </c>
      <c r="H44" s="76">
        <f t="shared" si="6"/>
        <v>2314.484943820225</v>
      </c>
      <c r="I44" s="76">
        <f t="shared" si="6"/>
        <v>2160.8560539950918</v>
      </c>
      <c r="J44" s="76">
        <f t="shared" si="6"/>
        <v>2023.7650765606595</v>
      </c>
      <c r="K44" s="76">
        <f t="shared" si="6"/>
        <v>2494.0483370044053</v>
      </c>
      <c r="L44" s="76">
        <f t="shared" si="6"/>
        <v>3483.9281066017738</v>
      </c>
      <c r="M44" s="76">
        <f t="shared" si="6"/>
        <v>2875.6887244897957</v>
      </c>
      <c r="N44" s="76">
        <f t="shared" si="6"/>
        <v>2110.5512820512822</v>
      </c>
      <c r="O44" s="76">
        <f t="shared" si="6"/>
        <v>2366.6010581363762</v>
      </c>
      <c r="P44" s="76">
        <f t="shared" si="6"/>
        <v>2082.8158878504673</v>
      </c>
      <c r="Q44" s="76">
        <f t="shared" si="6"/>
        <v>2134.4959821428574</v>
      </c>
      <c r="R44" s="76">
        <f t="shared" si="6"/>
        <v>2152.1112142857141</v>
      </c>
      <c r="S44" s="76">
        <f t="shared" si="6"/>
        <v>2174.8246991404012</v>
      </c>
      <c r="T44" s="76">
        <f t="shared" si="6"/>
        <v>2268.7546930422923</v>
      </c>
      <c r="U44" s="76">
        <f t="shared" si="6"/>
        <v>2223.6961172161168</v>
      </c>
      <c r="V44" s="76">
        <f t="shared" si="6"/>
        <v>3135.686542923434</v>
      </c>
      <c r="W44" s="76">
        <f t="shared" si="6"/>
        <v>1993.2637901498927</v>
      </c>
      <c r="X44" s="76">
        <f t="shared" si="6"/>
        <v>2580.1011147540985</v>
      </c>
      <c r="Y44" s="76">
        <f t="shared" si="6"/>
        <v>2447.21</v>
      </c>
      <c r="Z44" s="76">
        <f t="shared" si="6"/>
        <v>4556.2057247259445</v>
      </c>
      <c r="AA44" s="76">
        <f t="shared" si="6"/>
        <v>2736.6879194630874</v>
      </c>
      <c r="AB44" s="76">
        <f t="shared" si="6"/>
        <v>2640.1678627450983</v>
      </c>
      <c r="AC44" s="76">
        <f t="shared" si="6"/>
        <v>2543.2029295774646</v>
      </c>
      <c r="AD44" s="76">
        <f t="shared" si="6"/>
        <v>2264.5723498233219</v>
      </c>
      <c r="AE44" s="76">
        <f t="shared" si="6"/>
        <v>2578.0523818897641</v>
      </c>
      <c r="AF44" s="76">
        <f t="shared" si="6"/>
        <v>2742.8518191108838</v>
      </c>
      <c r="AG44" s="76">
        <f t="shared" si="6"/>
        <v>2379.7523091900312</v>
      </c>
      <c r="AH44" s="76">
        <f t="shared" si="6"/>
        <v>2205.4138493723849</v>
      </c>
      <c r="AI44" s="76">
        <f t="shared" si="6"/>
        <v>2190.6448</v>
      </c>
      <c r="AJ44" s="76">
        <f t="shared" si="6"/>
        <v>2620.7066334556894</v>
      </c>
      <c r="AK44" s="76">
        <f t="shared" si="6"/>
        <v>2375.97315696649</v>
      </c>
      <c r="AL44" s="76">
        <f t="shared" si="6"/>
        <v>2535.4165586034915</v>
      </c>
      <c r="AM44" s="76">
        <f t="shared" si="6"/>
        <v>2767.1341071428574</v>
      </c>
      <c r="AN44" s="76">
        <f t="shared" si="6"/>
        <v>3787.8995217762595</v>
      </c>
      <c r="AO44" s="76">
        <f t="shared" si="6"/>
        <v>3050.2329007633584</v>
      </c>
      <c r="AP44" s="76">
        <f t="shared" si="6"/>
        <v>2429.4958795562598</v>
      </c>
      <c r="AQ44" s="76">
        <f t="shared" si="6"/>
        <v>2284.0712519319941</v>
      </c>
      <c r="AR44" s="76">
        <f t="shared" si="6"/>
        <v>2721.3651178918171</v>
      </c>
      <c r="AS44" s="76">
        <f t="shared" si="6"/>
        <v>2510.4951981132076</v>
      </c>
      <c r="AT44" s="76">
        <f t="shared" si="6"/>
        <v>2414.4611464968152</v>
      </c>
      <c r="AU44" s="76">
        <f t="shared" si="6"/>
        <v>2746.2162291072159</v>
      </c>
      <c r="AV44" s="76">
        <f t="shared" si="6"/>
        <v>2608.9894186046513</v>
      </c>
      <c r="AW44" s="76">
        <f t="shared" si="6"/>
        <v>2757.7456198347109</v>
      </c>
      <c r="AX44" s="76">
        <f t="shared" si="6"/>
        <v>2144.5541265060237</v>
      </c>
      <c r="AY44" s="76">
        <f t="shared" si="6"/>
        <v>2475.410109289618</v>
      </c>
      <c r="AZ44" s="76">
        <f t="shared" si="6"/>
        <v>2408.8649606299218</v>
      </c>
      <c r="BA44" s="76">
        <f t="shared" si="6"/>
        <v>2551.4524219489122</v>
      </c>
      <c r="BB44" s="76">
        <f t="shared" si="6"/>
        <v>2894.5556991364947</v>
      </c>
      <c r="BC44" s="76">
        <f t="shared" si="6"/>
        <v>2652.8181901279704</v>
      </c>
      <c r="BD44" s="76">
        <f t="shared" si="6"/>
        <v>2705.5810126361548</v>
      </c>
      <c r="BE44" s="76">
        <f t="shared" si="6"/>
        <v>2669.1413411497733</v>
      </c>
      <c r="BF44" s="76">
        <f t="shared" si="6"/>
        <v>2826.259781597189</v>
      </c>
      <c r="BG44" s="76">
        <f t="shared" si="6"/>
        <v>2712.738267438519</v>
      </c>
    </row>
    <row r="45" spans="2:59" x14ac:dyDescent="0.2">
      <c r="C45" s="8">
        <v>360</v>
      </c>
      <c r="D45" s="8" t="s">
        <v>107</v>
      </c>
      <c r="E45" s="13">
        <f>'4.1 Comptes 2023 natures'!E45/'4.1 Comptes 2023 natures'!E3</f>
        <v>5.9623309053069722</v>
      </c>
      <c r="F45" s="13">
        <f>'4.1 Comptes 2023 natures'!F45/'4.1 Comptes 2023 natures'!F3</f>
        <v>5.2873563218390807</v>
      </c>
      <c r="G45" s="13">
        <f>'4.1 Comptes 2023 natures'!G45/'4.1 Comptes 2023 natures'!G3</f>
        <v>2.9959514170040484</v>
      </c>
      <c r="H45" s="13">
        <f>'4.1 Comptes 2023 natures'!H45/'4.1 Comptes 2023 natures'!H3</f>
        <v>2.1573033707865168</v>
      </c>
      <c r="I45" s="13">
        <f>'4.1 Comptes 2023 natures'!I45/'4.1 Comptes 2023 natures'!I3</f>
        <v>4.7117043905099534</v>
      </c>
      <c r="J45" s="13">
        <f>'4.1 Comptes 2023 natures'!J45/'4.1 Comptes 2023 natures'!J3</f>
        <v>36.639826266195527</v>
      </c>
      <c r="K45" s="13">
        <f>'4.1 Comptes 2023 natures'!K45/'4.1 Comptes 2023 natures'!K3</f>
        <v>1.57856093979442</v>
      </c>
      <c r="L45" s="13">
        <f>'4.1 Comptes 2023 natures'!L45/'4.1 Comptes 2023 natures'!L3</f>
        <v>2.0862430332051183</v>
      </c>
      <c r="M45" s="13">
        <f>'4.1 Comptes 2023 natures'!M45/'4.1 Comptes 2023 natures'!M3</f>
        <v>2.1720116618075802</v>
      </c>
      <c r="N45" s="13">
        <f>'4.1 Comptes 2023 natures'!N45/'4.1 Comptes 2023 natures'!N3</f>
        <v>5.4700854700854702</v>
      </c>
      <c r="O45" s="13">
        <f>'4.1 Comptes 2023 natures'!O45/'4.1 Comptes 2023 natures'!O3</f>
        <v>14.053871230643848</v>
      </c>
      <c r="P45" s="13">
        <f>'4.1 Comptes 2023 natures'!P45/'4.1 Comptes 2023 natures'!P3</f>
        <v>2.9532710280373831</v>
      </c>
      <c r="Q45" s="13">
        <f>'4.1 Comptes 2023 natures'!Q45/'4.1 Comptes 2023 natures'!Q3</f>
        <v>1.7857142857142858</v>
      </c>
      <c r="R45" s="13">
        <f>'4.1 Comptes 2023 natures'!R45/'4.1 Comptes 2023 natures'!R3</f>
        <v>3.4761904761904763</v>
      </c>
      <c r="S45" s="13">
        <f>'4.1 Comptes 2023 natures'!S45/'4.1 Comptes 2023 natures'!S3</f>
        <v>2.7507163323782233</v>
      </c>
      <c r="T45" s="13">
        <f>'4.1 Comptes 2023 natures'!T45/'4.1 Comptes 2023 natures'!T3</f>
        <v>10.982946793997272</v>
      </c>
      <c r="U45" s="13">
        <f>'4.1 Comptes 2023 natures'!U45/'4.1 Comptes 2023 natures'!U3</f>
        <v>3.2234432234432235</v>
      </c>
      <c r="V45" s="13">
        <f>'4.1 Comptes 2023 natures'!V45/'4.1 Comptes 2023 natures'!V3</f>
        <v>2.0881670533642693</v>
      </c>
      <c r="W45" s="13">
        <f>'4.1 Comptes 2023 natures'!W45/'4.1 Comptes 2023 natures'!W3</f>
        <v>2.2147445702049557</v>
      </c>
      <c r="X45" s="13">
        <f>'4.1 Comptes 2023 natures'!X45/'4.1 Comptes 2023 natures'!X3</f>
        <v>7.4098360655737707</v>
      </c>
      <c r="Y45" s="13">
        <f>'4.1 Comptes 2023 natures'!Y45/'4.1 Comptes 2023 natures'!Y3</f>
        <v>8.7617412140575084</v>
      </c>
      <c r="Z45" s="13">
        <f>'4.1 Comptes 2023 natures'!Z45/'4.1 Comptes 2023 natures'!Z3</f>
        <v>0</v>
      </c>
      <c r="AA45" s="13">
        <f>'4.1 Comptes 2023 natures'!AA45/'4.1 Comptes 2023 natures'!AA3</f>
        <v>16.219798657718123</v>
      </c>
      <c r="AB45" s="13">
        <f>'4.1 Comptes 2023 natures'!AB45/'4.1 Comptes 2023 natures'!AB3</f>
        <v>8.4901960784313726</v>
      </c>
      <c r="AC45" s="13">
        <f>'4.1 Comptes 2023 natures'!AC45/'4.1 Comptes 2023 natures'!AC3</f>
        <v>10.362112676056338</v>
      </c>
      <c r="AD45" s="13">
        <f>'4.1 Comptes 2023 natures'!AD45/'4.1 Comptes 2023 natures'!AD3</f>
        <v>8.4275618374558299</v>
      </c>
      <c r="AE45" s="13">
        <f>'4.1 Comptes 2023 natures'!AE45/'4.1 Comptes 2023 natures'!AE3</f>
        <v>13.063877952755906</v>
      </c>
      <c r="AF45" s="13">
        <f>'4.1 Comptes 2023 natures'!AF45/'4.1 Comptes 2023 natures'!AF3</f>
        <v>9.6627491057741448</v>
      </c>
      <c r="AG45" s="13">
        <f>'4.1 Comptes 2023 natures'!AG45/'4.1 Comptes 2023 natures'!AG3</f>
        <v>9.092679127725857</v>
      </c>
      <c r="AH45" s="13">
        <f>'4.1 Comptes 2023 natures'!AH45/'4.1 Comptes 2023 natures'!AH3</f>
        <v>8.9121338912133883</v>
      </c>
      <c r="AI45" s="13">
        <f>'4.1 Comptes 2023 natures'!AI45/'4.1 Comptes 2023 natures'!AI3</f>
        <v>24.032799999999998</v>
      </c>
      <c r="AJ45" s="13">
        <f>'4.1 Comptes 2023 natures'!AJ45/'4.1 Comptes 2023 natures'!AJ3</f>
        <v>2.3649711588883062</v>
      </c>
      <c r="AK45" s="13">
        <f>'4.1 Comptes 2023 natures'!AK45/'4.1 Comptes 2023 natures'!AK3</f>
        <v>4.8148148148148149</v>
      </c>
      <c r="AL45" s="13">
        <f>'4.1 Comptes 2023 natures'!AL45/'4.1 Comptes 2023 natures'!AL3</f>
        <v>3.6658354114713219</v>
      </c>
      <c r="AM45" s="13">
        <f>'4.1 Comptes 2023 natures'!AM45/'4.1 Comptes 2023 natures'!AM3</f>
        <v>7.75</v>
      </c>
      <c r="AN45" s="13">
        <f>'4.1 Comptes 2023 natures'!AN45/'4.1 Comptes 2023 natures'!AN3</f>
        <v>5.9777967549103334E-2</v>
      </c>
      <c r="AO45" s="13">
        <f>'4.1 Comptes 2023 natures'!AO45/'4.1 Comptes 2023 natures'!AO3</f>
        <v>0.64122137404580148</v>
      </c>
      <c r="AP45" s="13">
        <f>'4.1 Comptes 2023 natures'!AP45/'4.1 Comptes 2023 natures'!AP3</f>
        <v>2.9793977812995247</v>
      </c>
      <c r="AQ45" s="13">
        <f>'4.1 Comptes 2023 natures'!AQ45/'4.1 Comptes 2023 natures'!AQ3</f>
        <v>5.309119010819165</v>
      </c>
      <c r="AR45" s="13">
        <f>'4.1 Comptes 2023 natures'!AR45/'4.1 Comptes 2023 natures'!AR3</f>
        <v>3.4951456310679609</v>
      </c>
      <c r="AS45" s="13">
        <f>'4.1 Comptes 2023 natures'!AS45/'4.1 Comptes 2023 natures'!AS3</f>
        <v>2.7735849056603774</v>
      </c>
      <c r="AT45" s="13">
        <f>'4.1 Comptes 2023 natures'!AT45/'4.1 Comptes 2023 natures'!AT3</f>
        <v>5</v>
      </c>
      <c r="AU45" s="13">
        <f>'4.1 Comptes 2023 natures'!AU45/'4.1 Comptes 2023 natures'!AU3</f>
        <v>2.2910721565430086</v>
      </c>
      <c r="AV45" s="13">
        <f>'4.1 Comptes 2023 natures'!AV45/'4.1 Comptes 2023 natures'!AV3</f>
        <v>2.4289405684754524</v>
      </c>
      <c r="AW45" s="13">
        <f>'4.1 Comptes 2023 natures'!AW45/'4.1 Comptes 2023 natures'!AW3</f>
        <v>0</v>
      </c>
      <c r="AX45" s="13">
        <f>'4.1 Comptes 2023 natures'!AX45/'4.1 Comptes 2023 natures'!AX3</f>
        <v>5.4216867469879517</v>
      </c>
      <c r="AY45" s="13">
        <f>'4.1 Comptes 2023 natures'!AY45/'4.1 Comptes 2023 natures'!AY3</f>
        <v>2.2465088038858529</v>
      </c>
      <c r="AZ45" s="13">
        <f>'4.1 Comptes 2023 natures'!AZ45/'4.1 Comptes 2023 natures'!AZ3</f>
        <v>9.1601049868766395</v>
      </c>
      <c r="BA45" s="13">
        <f>'4.1 Comptes 2023 natures'!BA45/'4.1 Comptes 2023 natures'!BA3</f>
        <v>4.1627246925260168</v>
      </c>
      <c r="BB45" s="13">
        <f>'4.1 Comptes 2023 natures'!BB45/'4.1 Comptes 2023 natures'!BB3</f>
        <v>2.6908725950613546</v>
      </c>
      <c r="BC45" s="13">
        <f>'4.1 Comptes 2023 natures'!BC45/'4.1 Comptes 2023 natures'!BC3</f>
        <v>3.7659963436928701</v>
      </c>
      <c r="BD45" s="13">
        <f>'4.1 Comptes 2023 natures'!BD45/'4.1 Comptes 2023 natures'!BD3</f>
        <v>6.2892736223641137</v>
      </c>
      <c r="BE45" s="13">
        <f>'4.1 Comptes 2023 natures'!BE45/'4.1 Comptes 2023 natures'!BE3</f>
        <v>7.8287498739283903</v>
      </c>
      <c r="BF45" s="13">
        <f>'4.1 Comptes 2023 natures'!BF45/'4.1 Comptes 2023 natures'!BF3</f>
        <v>8.1790998005887392</v>
      </c>
      <c r="BG45" s="13">
        <f>'4.1 Comptes 2023 natures'!BG45/'4.1 Comptes 2023 natures'!BG3</f>
        <v>2.9654904134335096</v>
      </c>
    </row>
    <row r="46" spans="2:59" x14ac:dyDescent="0.2">
      <c r="C46" s="8">
        <v>361</v>
      </c>
      <c r="D46" s="8" t="s">
        <v>108</v>
      </c>
      <c r="E46" s="13">
        <f>'4.1 Comptes 2023 natures'!E46/'4.1 Comptes 2023 natures'!E3</f>
        <v>1862.6766077003122</v>
      </c>
      <c r="F46" s="13">
        <f>'4.1 Comptes 2023 natures'!F46/'4.1 Comptes 2023 natures'!F3</f>
        <v>1606.3559386973182</v>
      </c>
      <c r="G46" s="13">
        <f>'4.1 Comptes 2023 natures'!G46/'4.1 Comptes 2023 natures'!G3</f>
        <v>1789.3786437246965</v>
      </c>
      <c r="H46" s="13">
        <f>'4.1 Comptes 2023 natures'!H46/'4.1 Comptes 2023 natures'!H3</f>
        <v>1592.5099550561799</v>
      </c>
      <c r="I46" s="13">
        <f>'4.1 Comptes 2023 natures'!I46/'4.1 Comptes 2023 natures'!I3</f>
        <v>1331.1970466321245</v>
      </c>
      <c r="J46" s="13">
        <f>'4.1 Comptes 2023 natures'!J46/'4.1 Comptes 2023 natures'!J3</f>
        <v>1322.9770730270907</v>
      </c>
      <c r="K46" s="13">
        <f>'4.1 Comptes 2023 natures'!K46/'4.1 Comptes 2023 natures'!K3</f>
        <v>1829.9116666666666</v>
      </c>
      <c r="L46" s="13">
        <f>'4.1 Comptes 2023 natures'!L46/'4.1 Comptes 2023 natures'!L3</f>
        <v>1515.943352696444</v>
      </c>
      <c r="M46" s="13">
        <f>'4.1 Comptes 2023 natures'!M46/'4.1 Comptes 2023 natures'!M3</f>
        <v>2024.982995626822</v>
      </c>
      <c r="N46" s="13">
        <f>'4.1 Comptes 2023 natures'!N46/'4.1 Comptes 2023 natures'!N3</f>
        <v>1207.6025641025642</v>
      </c>
      <c r="O46" s="13">
        <f>'4.1 Comptes 2023 natures'!O46/'4.1 Comptes 2023 natures'!O3</f>
        <v>1738.6639975550122</v>
      </c>
      <c r="P46" s="13">
        <f>'4.1 Comptes 2023 natures'!P46/'4.1 Comptes 2023 natures'!P3</f>
        <v>1560.3155140186916</v>
      </c>
      <c r="Q46" s="13">
        <f>'4.1 Comptes 2023 natures'!Q46/'4.1 Comptes 2023 natures'!Q3</f>
        <v>1619.4026785714286</v>
      </c>
      <c r="R46" s="13">
        <f>'4.1 Comptes 2023 natures'!R46/'4.1 Comptes 2023 natures'!R3</f>
        <v>1732.0239523809526</v>
      </c>
      <c r="S46" s="13">
        <f>'4.1 Comptes 2023 natures'!S46/'4.1 Comptes 2023 natures'!S3</f>
        <v>1622.8904011461318</v>
      </c>
      <c r="T46" s="13">
        <f>'4.1 Comptes 2023 natures'!T46/'4.1 Comptes 2023 natures'!T3</f>
        <v>1808.6024420190997</v>
      </c>
      <c r="U46" s="13">
        <f>'4.1 Comptes 2023 natures'!U46/'4.1 Comptes 2023 natures'!U3</f>
        <v>1664.7771062271063</v>
      </c>
      <c r="V46" s="13">
        <f>'4.1 Comptes 2023 natures'!V46/'4.1 Comptes 2023 natures'!V3</f>
        <v>1743.0670533642692</v>
      </c>
      <c r="W46" s="13">
        <f>'4.1 Comptes 2023 natures'!W46/'4.1 Comptes 2023 natures'!W3</f>
        <v>1376.4891189966349</v>
      </c>
      <c r="X46" s="13">
        <f>'4.1 Comptes 2023 natures'!X46/'4.1 Comptes 2023 natures'!X3</f>
        <v>1706.7795081967213</v>
      </c>
      <c r="Y46" s="13">
        <f>'4.1 Comptes 2023 natures'!Y46/'4.1 Comptes 2023 natures'!Y3</f>
        <v>1681.2596405750796</v>
      </c>
      <c r="Z46" s="13">
        <f>'4.1 Comptes 2023 natures'!Z46/'4.1 Comptes 2023 natures'!Z3</f>
        <v>1576.0527649208284</v>
      </c>
      <c r="AA46" s="13">
        <f>'4.1 Comptes 2023 natures'!AA46/'4.1 Comptes 2023 natures'!AA3</f>
        <v>2023.0664429530202</v>
      </c>
      <c r="AB46" s="13">
        <f>'4.1 Comptes 2023 natures'!AB46/'4.1 Comptes 2023 natures'!AB3</f>
        <v>1880.5207843137255</v>
      </c>
      <c r="AC46" s="13">
        <f>'4.1 Comptes 2023 natures'!AC46/'4.1 Comptes 2023 natures'!AC3</f>
        <v>1862.9643380281689</v>
      </c>
      <c r="AD46" s="13">
        <f>'4.1 Comptes 2023 natures'!AD46/'4.1 Comptes 2023 natures'!AD3</f>
        <v>1473.2724381625442</v>
      </c>
      <c r="AE46" s="13">
        <f>'4.1 Comptes 2023 natures'!AE46/'4.1 Comptes 2023 natures'!AE3</f>
        <v>1959.8455314960631</v>
      </c>
      <c r="AF46" s="13">
        <f>'4.1 Comptes 2023 natures'!AF46/'4.1 Comptes 2023 natures'!AF3</f>
        <v>1768.9519366377108</v>
      </c>
      <c r="AG46" s="13">
        <f>'4.1 Comptes 2023 natures'!AG46/'4.1 Comptes 2023 natures'!AG3</f>
        <v>1264.052476635514</v>
      </c>
      <c r="AH46" s="13">
        <f>'4.1 Comptes 2023 natures'!AH46/'4.1 Comptes 2023 natures'!AH3</f>
        <v>1728.7333054393305</v>
      </c>
      <c r="AI46" s="13">
        <f>'4.1 Comptes 2023 natures'!AI46/'4.1 Comptes 2023 natures'!AI3</f>
        <v>1615.4143999999999</v>
      </c>
      <c r="AJ46" s="13">
        <f>'4.1 Comptes 2023 natures'!AJ46/'4.1 Comptes 2023 natures'!AJ3</f>
        <v>2056.4577713686422</v>
      </c>
      <c r="AK46" s="13">
        <f>'4.1 Comptes 2023 natures'!AK46/'4.1 Comptes 2023 natures'!AK3</f>
        <v>1658.031798941799</v>
      </c>
      <c r="AL46" s="13">
        <f>'4.1 Comptes 2023 natures'!AL46/'4.1 Comptes 2023 natures'!AL3</f>
        <v>1833.6440315876973</v>
      </c>
      <c r="AM46" s="13">
        <f>'4.1 Comptes 2023 natures'!AM46/'4.1 Comptes 2023 natures'!AM3</f>
        <v>1251.3031250000001</v>
      </c>
      <c r="AN46" s="13">
        <f>'4.1 Comptes 2023 natures'!AN46/'4.1 Comptes 2023 natures'!AN3</f>
        <v>1363.33877882152</v>
      </c>
      <c r="AO46" s="13">
        <f>'4.1 Comptes 2023 natures'!AO46/'4.1 Comptes 2023 natures'!AO3</f>
        <v>2055.1460305343512</v>
      </c>
      <c r="AP46" s="13">
        <f>'4.1 Comptes 2023 natures'!AP46/'4.1 Comptes 2023 natures'!AP3</f>
        <v>1861.9689381933438</v>
      </c>
      <c r="AQ46" s="13">
        <f>'4.1 Comptes 2023 natures'!AQ46/'4.1 Comptes 2023 natures'!AQ3</f>
        <v>1750.9576893353942</v>
      </c>
      <c r="AR46" s="13">
        <f>'4.1 Comptes 2023 natures'!AR46/'4.1 Comptes 2023 natures'!AR3</f>
        <v>2081.5476421636617</v>
      </c>
      <c r="AS46" s="13">
        <f>'4.1 Comptes 2023 natures'!AS46/'4.1 Comptes 2023 natures'!AS3</f>
        <v>1784.4506226415094</v>
      </c>
      <c r="AT46" s="13">
        <f>'4.1 Comptes 2023 natures'!AT46/'4.1 Comptes 2023 natures'!AT3</f>
        <v>1880.8783439490448</v>
      </c>
      <c r="AU46" s="13">
        <f>'4.1 Comptes 2023 natures'!AU46/'4.1 Comptes 2023 natures'!AU3</f>
        <v>2184.56346106808</v>
      </c>
      <c r="AV46" s="13">
        <f>'4.1 Comptes 2023 natures'!AV46/'4.1 Comptes 2023 natures'!AV3</f>
        <v>2023.1244961240311</v>
      </c>
      <c r="AW46" s="13">
        <f>'4.1 Comptes 2023 natures'!AW46/'4.1 Comptes 2023 natures'!AW3</f>
        <v>1773.0841873278239</v>
      </c>
      <c r="AX46" s="13">
        <f>'4.1 Comptes 2023 natures'!AX46/'4.1 Comptes 2023 natures'!AX3</f>
        <v>1545.6422289156626</v>
      </c>
      <c r="AY46" s="13">
        <f>'4.1 Comptes 2023 natures'!AY46/'4.1 Comptes 2023 natures'!AY3</f>
        <v>1915.7346387370978</v>
      </c>
      <c r="AZ46" s="13">
        <f>'4.1 Comptes 2023 natures'!AZ46/'4.1 Comptes 2023 natures'!AZ3</f>
        <v>1868.0742782152233</v>
      </c>
      <c r="BA46" s="13">
        <f>'4.1 Comptes 2023 natures'!BA46/'4.1 Comptes 2023 natures'!BA3</f>
        <v>1896.7891769157993</v>
      </c>
      <c r="BB46" s="13">
        <f>'4.1 Comptes 2023 natures'!BB46/'4.1 Comptes 2023 natures'!BB3</f>
        <v>1373.8078457809422</v>
      </c>
      <c r="BC46" s="13">
        <f>'4.1 Comptes 2023 natures'!BC46/'4.1 Comptes 2023 natures'!BC3</f>
        <v>1950.7928702010968</v>
      </c>
      <c r="BD46" s="13">
        <f>'4.1 Comptes 2023 natures'!BD46/'4.1 Comptes 2023 natures'!BD3</f>
        <v>1637.6735602564793</v>
      </c>
      <c r="BE46" s="13">
        <f>'4.1 Comptes 2023 natures'!BE46/'4.1 Comptes 2023 natures'!BE3</f>
        <v>1576.7349561270803</v>
      </c>
      <c r="BF46" s="13">
        <f>'4.1 Comptes 2023 natures'!BF46/'4.1 Comptes 2023 natures'!BF3</f>
        <v>1609.4467885291044</v>
      </c>
      <c r="BG46" s="13">
        <f>'4.1 Comptes 2023 natures'!BG46/'4.1 Comptes 2023 natures'!BG3</f>
        <v>1749.1027663505356</v>
      </c>
    </row>
    <row r="47" spans="2:59" x14ac:dyDescent="0.2">
      <c r="C47" s="8">
        <v>362</v>
      </c>
      <c r="D47" s="8" t="s">
        <v>109</v>
      </c>
      <c r="E47" s="13">
        <f>'4.1 Comptes 2023 natures'!E47/'4.1 Comptes 2023 natures'!E3</f>
        <v>0</v>
      </c>
      <c r="F47" s="13">
        <f>'4.1 Comptes 2023 natures'!F47/'4.1 Comptes 2023 natures'!F3</f>
        <v>26.17624521072797</v>
      </c>
      <c r="G47" s="13">
        <f>'4.1 Comptes 2023 natures'!G47/'4.1 Comptes 2023 natures'!G3</f>
        <v>0</v>
      </c>
      <c r="H47" s="13">
        <f>'4.1 Comptes 2023 natures'!H47/'4.1 Comptes 2023 natures'!H3</f>
        <v>0</v>
      </c>
      <c r="I47" s="13">
        <f>'4.1 Comptes 2023 natures'!I47/'4.1 Comptes 2023 natures'!I3</f>
        <v>43.332424325061361</v>
      </c>
      <c r="J47" s="13">
        <f>'4.1 Comptes 2023 natures'!J47/'4.1 Comptes 2023 natures'!J3</f>
        <v>42.223203769140163</v>
      </c>
      <c r="K47" s="13">
        <f>'4.1 Comptes 2023 natures'!K47/'4.1 Comptes 2023 natures'!K3</f>
        <v>88.60315712187959</v>
      </c>
      <c r="L47" s="13">
        <f>'4.1 Comptes 2023 natures'!L47/'4.1 Comptes 2023 natures'!L3</f>
        <v>67.555459612214463</v>
      </c>
      <c r="M47" s="13">
        <f>'4.1 Comptes 2023 natures'!M47/'4.1 Comptes 2023 natures'!M3</f>
        <v>42.615160349854229</v>
      </c>
      <c r="N47" s="13">
        <f>'4.1 Comptes 2023 natures'!N47/'4.1 Comptes 2023 natures'!N3</f>
        <v>-2.0128205128205128</v>
      </c>
      <c r="O47" s="13">
        <f>'4.1 Comptes 2023 natures'!O47/'4.1 Comptes 2023 natures'!O3</f>
        <v>33.755637055148057</v>
      </c>
      <c r="P47" s="13">
        <f>'4.1 Comptes 2023 natures'!P47/'4.1 Comptes 2023 natures'!P3</f>
        <v>0</v>
      </c>
      <c r="Q47" s="13">
        <f>'4.1 Comptes 2023 natures'!Q47/'4.1 Comptes 2023 natures'!Q3</f>
        <v>34.071428571428569</v>
      </c>
      <c r="R47" s="13">
        <f>'4.1 Comptes 2023 natures'!R47/'4.1 Comptes 2023 natures'!R3</f>
        <v>0</v>
      </c>
      <c r="S47" s="13">
        <f>'4.1 Comptes 2023 natures'!S47/'4.1 Comptes 2023 natures'!S3</f>
        <v>0</v>
      </c>
      <c r="T47" s="13">
        <f>'4.1 Comptes 2023 natures'!T47/'4.1 Comptes 2023 natures'!T3</f>
        <v>41.733969986357437</v>
      </c>
      <c r="U47" s="13">
        <f>'4.1 Comptes 2023 natures'!U47/'4.1 Comptes 2023 natures'!U3</f>
        <v>16.937728937728938</v>
      </c>
      <c r="V47" s="13">
        <f>'4.1 Comptes 2023 natures'!V47/'4.1 Comptes 2023 natures'!V3</f>
        <v>0</v>
      </c>
      <c r="W47" s="13">
        <f>'4.1 Comptes 2023 natures'!W47/'4.1 Comptes 2023 natures'!W3</f>
        <v>0</v>
      </c>
      <c r="X47" s="13">
        <f>'4.1 Comptes 2023 natures'!X47/'4.1 Comptes 2023 natures'!X3</f>
        <v>0</v>
      </c>
      <c r="Y47" s="13">
        <f>'4.1 Comptes 2023 natures'!Y47/'4.1 Comptes 2023 natures'!Y3</f>
        <v>146.15335463258785</v>
      </c>
      <c r="Z47" s="13">
        <f>'4.1 Comptes 2023 natures'!Z47/'4.1 Comptes 2023 natures'!Z3</f>
        <v>2341.0097442143729</v>
      </c>
      <c r="AA47" s="13">
        <f>'4.1 Comptes 2023 natures'!AA47/'4.1 Comptes 2023 natures'!AA3</f>
        <v>0</v>
      </c>
      <c r="AB47" s="13">
        <f>'4.1 Comptes 2023 natures'!AB47/'4.1 Comptes 2023 natures'!AB3</f>
        <v>0</v>
      </c>
      <c r="AC47" s="13">
        <f>'4.1 Comptes 2023 natures'!AC47/'4.1 Comptes 2023 natures'!AC3</f>
        <v>0</v>
      </c>
      <c r="AD47" s="13">
        <f>'4.1 Comptes 2023 natures'!AD47/'4.1 Comptes 2023 natures'!AD3</f>
        <v>0</v>
      </c>
      <c r="AE47" s="13">
        <f>'4.1 Comptes 2023 natures'!AE47/'4.1 Comptes 2023 natures'!AE3</f>
        <v>45.519685039370081</v>
      </c>
      <c r="AF47" s="13">
        <f>'4.1 Comptes 2023 natures'!AF47/'4.1 Comptes 2023 natures'!AF3</f>
        <v>175.61727133367398</v>
      </c>
      <c r="AG47" s="13">
        <f>'4.1 Comptes 2023 natures'!AG47/'4.1 Comptes 2023 natures'!AG3</f>
        <v>0</v>
      </c>
      <c r="AH47" s="13">
        <f>'4.1 Comptes 2023 natures'!AH47/'4.1 Comptes 2023 natures'!AH3</f>
        <v>0</v>
      </c>
      <c r="AI47" s="13">
        <f>'4.1 Comptes 2023 natures'!AI47/'4.1 Comptes 2023 natures'!AI3</f>
        <v>0</v>
      </c>
      <c r="AJ47" s="13">
        <f>'4.1 Comptes 2023 natures'!AJ47/'4.1 Comptes 2023 natures'!AJ3</f>
        <v>32.769795490298897</v>
      </c>
      <c r="AK47" s="13">
        <f>'4.1 Comptes 2023 natures'!AK47/'4.1 Comptes 2023 natures'!AK3</f>
        <v>100.4373897707231</v>
      </c>
      <c r="AL47" s="13">
        <f>'4.1 Comptes 2023 natures'!AL47/'4.1 Comptes 2023 natures'!AL3</f>
        <v>0</v>
      </c>
      <c r="AM47" s="13">
        <f>'4.1 Comptes 2023 natures'!AM47/'4.1 Comptes 2023 natures'!AM3</f>
        <v>0</v>
      </c>
      <c r="AN47" s="13">
        <f>'4.1 Comptes 2023 natures'!AN47/'4.1 Comptes 2023 natures'!AN3</f>
        <v>1511.8018787361229</v>
      </c>
      <c r="AO47" s="13">
        <f>'4.1 Comptes 2023 natures'!AO47/'4.1 Comptes 2023 natures'!AO3</f>
        <v>15.877862595419847</v>
      </c>
      <c r="AP47" s="13">
        <f>'4.1 Comptes 2023 natures'!AP47/'4.1 Comptes 2023 natures'!AP3</f>
        <v>33.152139461172744</v>
      </c>
      <c r="AQ47" s="13">
        <f>'4.1 Comptes 2023 natures'!AQ47/'4.1 Comptes 2023 natures'!AQ3</f>
        <v>0</v>
      </c>
      <c r="AR47" s="13">
        <f>'4.1 Comptes 2023 natures'!AR47/'4.1 Comptes 2023 natures'!AR3</f>
        <v>0</v>
      </c>
      <c r="AS47" s="13">
        <f>'4.1 Comptes 2023 natures'!AS47/'4.1 Comptes 2023 natures'!AS3</f>
        <v>0</v>
      </c>
      <c r="AT47" s="13">
        <f>'4.1 Comptes 2023 natures'!AT47/'4.1 Comptes 2023 natures'!AT3</f>
        <v>0</v>
      </c>
      <c r="AU47" s="13">
        <f>'4.1 Comptes 2023 natures'!AU47/'4.1 Comptes 2023 natures'!AU3</f>
        <v>27.658377496942521</v>
      </c>
      <c r="AV47" s="13">
        <f>'4.1 Comptes 2023 natures'!AV47/'4.1 Comptes 2023 natures'!AV3</f>
        <v>43.71059431524548</v>
      </c>
      <c r="AW47" s="13">
        <f>'4.1 Comptes 2023 natures'!AW47/'4.1 Comptes 2023 natures'!AW3</f>
        <v>0</v>
      </c>
      <c r="AX47" s="13">
        <f>'4.1 Comptes 2023 natures'!AX47/'4.1 Comptes 2023 natures'!AX3</f>
        <v>0</v>
      </c>
      <c r="AY47" s="13">
        <f>'4.1 Comptes 2023 natures'!AY47/'4.1 Comptes 2023 natures'!AY3</f>
        <v>34.010321797207041</v>
      </c>
      <c r="AZ47" s="13">
        <f>'4.1 Comptes 2023 natures'!AZ47/'4.1 Comptes 2023 natures'!AZ3</f>
        <v>16.58267716535433</v>
      </c>
      <c r="BA47" s="13">
        <f>'4.1 Comptes 2023 natures'!BA47/'4.1 Comptes 2023 natures'!BA3</f>
        <v>10.14569536423841</v>
      </c>
      <c r="BB47" s="13">
        <f>'4.1 Comptes 2023 natures'!BB47/'4.1 Comptes 2023 natures'!BB3</f>
        <v>40.172549613694898</v>
      </c>
      <c r="BC47" s="13">
        <f>'4.1 Comptes 2023 natures'!BC47/'4.1 Comptes 2023 natures'!BC3</f>
        <v>0</v>
      </c>
      <c r="BD47" s="13">
        <f>'4.1 Comptes 2023 natures'!BD47/'4.1 Comptes 2023 natures'!BD3</f>
        <v>114.93948194451897</v>
      </c>
      <c r="BE47" s="13">
        <f>'4.1 Comptes 2023 natures'!BE47/'4.1 Comptes 2023 natures'!BE3</f>
        <v>44.297491174987393</v>
      </c>
      <c r="BF47" s="13">
        <f>'4.1 Comptes 2023 natures'!BF47/'4.1 Comptes 2023 natures'!BF3</f>
        <v>417.21859272623681</v>
      </c>
      <c r="BG47" s="13">
        <f>'4.1 Comptes 2023 natures'!BG47/'4.1 Comptes 2023 natures'!BG3</f>
        <v>99.270887219279885</v>
      </c>
    </row>
    <row r="48" spans="2:59" x14ac:dyDescent="0.2">
      <c r="C48" s="8">
        <v>363</v>
      </c>
      <c r="D48" s="8" t="s">
        <v>110</v>
      </c>
      <c r="E48" s="13">
        <f>'4.1 Comptes 2023 natures'!E48/'4.1 Comptes 2023 natures'!E3</f>
        <v>563.88756503642037</v>
      </c>
      <c r="F48" s="13">
        <f>'4.1 Comptes 2023 natures'!F48/'4.1 Comptes 2023 natures'!F3</f>
        <v>860.91532567049808</v>
      </c>
      <c r="G48" s="13">
        <f>'4.1 Comptes 2023 natures'!G48/'4.1 Comptes 2023 natures'!G3</f>
        <v>408.83410931174086</v>
      </c>
      <c r="H48" s="13">
        <f>'4.1 Comptes 2023 natures'!H48/'4.1 Comptes 2023 natures'!H3</f>
        <v>618.93303370786521</v>
      </c>
      <c r="I48" s="13">
        <f>'4.1 Comptes 2023 natures'!I48/'4.1 Comptes 2023 natures'!I3</f>
        <v>736.23811289882747</v>
      </c>
      <c r="J48" s="13">
        <f>'4.1 Comptes 2023 natures'!J48/'4.1 Comptes 2023 natures'!J3</f>
        <v>609.16411071849234</v>
      </c>
      <c r="K48" s="13">
        <f>'4.1 Comptes 2023 natures'!K48/'4.1 Comptes 2023 natures'!K3</f>
        <v>568.64373715124816</v>
      </c>
      <c r="L48" s="13">
        <f>'4.1 Comptes 2023 natures'!L48/'4.1 Comptes 2023 natures'!L3</f>
        <v>1484.6347484103933</v>
      </c>
      <c r="M48" s="13">
        <f>'4.1 Comptes 2023 natures'!M48/'4.1 Comptes 2023 natures'!M3</f>
        <v>632.01680029154522</v>
      </c>
      <c r="N48" s="13">
        <f>'4.1 Comptes 2023 natures'!N48/'4.1 Comptes 2023 natures'!N3</f>
        <v>899.491452991453</v>
      </c>
      <c r="O48" s="13">
        <f>'4.1 Comptes 2023 natures'!O48/'4.1 Comptes 2023 natures'!O3</f>
        <v>567.5015552838903</v>
      </c>
      <c r="P48" s="13">
        <f>'4.1 Comptes 2023 natures'!P48/'4.1 Comptes 2023 natures'!P3</f>
        <v>513.93719626168229</v>
      </c>
      <c r="Q48" s="13">
        <f>'4.1 Comptes 2023 natures'!Q48/'4.1 Comptes 2023 natures'!Q3</f>
        <v>479.23616071428569</v>
      </c>
      <c r="R48" s="13">
        <f>'4.1 Comptes 2023 natures'!R48/'4.1 Comptes 2023 natures'!R3</f>
        <v>407.84678571428572</v>
      </c>
      <c r="S48" s="13">
        <f>'4.1 Comptes 2023 natures'!S48/'4.1 Comptes 2023 natures'!S3</f>
        <v>549.18358166189114</v>
      </c>
      <c r="T48" s="13">
        <f>'4.1 Comptes 2023 natures'!T48/'4.1 Comptes 2023 natures'!T3</f>
        <v>407.4353342428376</v>
      </c>
      <c r="U48" s="13">
        <f>'4.1 Comptes 2023 natures'!U48/'4.1 Comptes 2023 natures'!U3</f>
        <v>498.89501831501832</v>
      </c>
      <c r="V48" s="13">
        <f>'4.1 Comptes 2023 natures'!V48/'4.1 Comptes 2023 natures'!V3</f>
        <v>1390.5313225058005</v>
      </c>
      <c r="W48" s="13">
        <f>'4.1 Comptes 2023 natures'!W48/'4.1 Comptes 2023 natures'!W3</f>
        <v>610.49054756806368</v>
      </c>
      <c r="X48" s="13">
        <f>'4.1 Comptes 2023 natures'!X48/'4.1 Comptes 2023 natures'!X3</f>
        <v>865.9117704918034</v>
      </c>
      <c r="Y48" s="13">
        <f>'4.1 Comptes 2023 natures'!Y48/'4.1 Comptes 2023 natures'!Y3</f>
        <v>604.94660543130988</v>
      </c>
      <c r="Z48" s="13">
        <f>'4.1 Comptes 2023 natures'!Z48/'4.1 Comptes 2023 natures'!Z3</f>
        <v>631.1736662606578</v>
      </c>
      <c r="AA48" s="13">
        <f>'4.1 Comptes 2023 natures'!AA48/'4.1 Comptes 2023 natures'!AA3</f>
        <v>697.40167785234905</v>
      </c>
      <c r="AB48" s="13">
        <f>'4.1 Comptes 2023 natures'!AB48/'4.1 Comptes 2023 natures'!AB3</f>
        <v>751.15688235294124</v>
      </c>
      <c r="AC48" s="13">
        <f>'4.1 Comptes 2023 natures'!AC48/'4.1 Comptes 2023 natures'!AC3</f>
        <v>636.88422535211271</v>
      </c>
      <c r="AD48" s="13">
        <f>'4.1 Comptes 2023 natures'!AD48/'4.1 Comptes 2023 natures'!AD3</f>
        <v>776.90759717314495</v>
      </c>
      <c r="AE48" s="13">
        <f>'4.1 Comptes 2023 natures'!AE48/'4.1 Comptes 2023 natures'!AE3</f>
        <v>545.78962598425198</v>
      </c>
      <c r="AF48" s="13">
        <f>'4.1 Comptes 2023 natures'!AF48/'4.1 Comptes 2023 natures'!AF3</f>
        <v>780.87995401124169</v>
      </c>
      <c r="AG48" s="13">
        <f>'4.1 Comptes 2023 natures'!AG48/'4.1 Comptes 2023 natures'!AG3</f>
        <v>1098.3746767912771</v>
      </c>
      <c r="AH48" s="13">
        <f>'4.1 Comptes 2023 natures'!AH48/'4.1 Comptes 2023 natures'!AH3</f>
        <v>462.9106694560669</v>
      </c>
      <c r="AI48" s="13">
        <f>'4.1 Comptes 2023 natures'!AI48/'4.1 Comptes 2023 natures'!AI3</f>
        <v>551.19759999999997</v>
      </c>
      <c r="AJ48" s="13">
        <f>'4.1 Comptes 2023 natures'!AJ48/'4.1 Comptes 2023 natures'!AJ3</f>
        <v>529.11409543786044</v>
      </c>
      <c r="AK48" s="13">
        <f>'4.1 Comptes 2023 natures'!AK48/'4.1 Comptes 2023 natures'!AK3</f>
        <v>612.68915343915342</v>
      </c>
      <c r="AL48" s="13">
        <f>'4.1 Comptes 2023 natures'!AL48/'4.1 Comptes 2023 natures'!AL3</f>
        <v>696.64783873649208</v>
      </c>
      <c r="AM48" s="13">
        <f>'4.1 Comptes 2023 natures'!AM48/'4.1 Comptes 2023 natures'!AM3</f>
        <v>1508.0809821428572</v>
      </c>
      <c r="AN48" s="13">
        <f>'4.1 Comptes 2023 natures'!AN48/'4.1 Comptes 2023 natures'!AN3</f>
        <v>912.69908625106734</v>
      </c>
      <c r="AO48" s="13">
        <f>'4.1 Comptes 2023 natures'!AO48/'4.1 Comptes 2023 natures'!AO3</f>
        <v>977.64106870229011</v>
      </c>
      <c r="AP48" s="13">
        <f>'4.1 Comptes 2023 natures'!AP48/'4.1 Comptes 2023 natures'!AP3</f>
        <v>522.01030110935028</v>
      </c>
      <c r="AQ48" s="13">
        <f>'4.1 Comptes 2023 natures'!AQ48/'4.1 Comptes 2023 natures'!AQ3</f>
        <v>522.57414992272027</v>
      </c>
      <c r="AR48" s="13">
        <f>'4.1 Comptes 2023 natures'!AR48/'4.1 Comptes 2023 natures'!AR3</f>
        <v>626.75922330097092</v>
      </c>
      <c r="AS48" s="13">
        <f>'4.1 Comptes 2023 natures'!AS48/'4.1 Comptes 2023 natures'!AS3</f>
        <v>723.27099056603777</v>
      </c>
      <c r="AT48" s="13">
        <f>'4.1 Comptes 2023 natures'!AT48/'4.1 Comptes 2023 natures'!AT3</f>
        <v>527.41082802547771</v>
      </c>
      <c r="AU48" s="13">
        <f>'4.1 Comptes 2023 natures'!AU48/'4.1 Comptes 2023 natures'!AU3</f>
        <v>531.70331838565016</v>
      </c>
      <c r="AV48" s="13">
        <f>'4.1 Comptes 2023 natures'!AV48/'4.1 Comptes 2023 natures'!AV3</f>
        <v>538.9075581395349</v>
      </c>
      <c r="AW48" s="13">
        <f>'4.1 Comptes 2023 natures'!AW48/'4.1 Comptes 2023 natures'!AW3</f>
        <v>974.69173553718997</v>
      </c>
      <c r="AX48" s="13">
        <f>'4.1 Comptes 2023 natures'!AX48/'4.1 Comptes 2023 natures'!AX3</f>
        <v>583.98719879518069</v>
      </c>
      <c r="AY48" s="13">
        <f>'4.1 Comptes 2023 natures'!AY48/'4.1 Comptes 2023 natures'!AY3</f>
        <v>514.55585913782636</v>
      </c>
      <c r="AZ48" s="13">
        <f>'4.1 Comptes 2023 natures'!AZ48/'4.1 Comptes 2023 natures'!AZ3</f>
        <v>514.03923884514438</v>
      </c>
      <c r="BA48" s="13">
        <f>'4.1 Comptes 2023 natures'!BA48/'4.1 Comptes 2023 natures'!BA3</f>
        <v>639.32984862819308</v>
      </c>
      <c r="BB48" s="13">
        <f>'4.1 Comptes 2023 natures'!BB48/'4.1 Comptes 2023 natures'!BB3</f>
        <v>1477.884431146796</v>
      </c>
      <c r="BC48" s="13">
        <f>'4.1 Comptes 2023 natures'!BC48/'4.1 Comptes 2023 natures'!BC3</f>
        <v>688.29588665447898</v>
      </c>
      <c r="BD48" s="13">
        <f>'4.1 Comptes 2023 natures'!BD48/'4.1 Comptes 2023 natures'!BD3</f>
        <v>865.45950287063397</v>
      </c>
      <c r="BE48" s="13">
        <f>'4.1 Comptes 2023 natures'!BE48/'4.1 Comptes 2023 natures'!BE3</f>
        <v>891.2255368129097</v>
      </c>
      <c r="BF48" s="13">
        <f>'4.1 Comptes 2023 natures'!BF48/'4.1 Comptes 2023 natures'!BF3</f>
        <v>782.68051277181655</v>
      </c>
      <c r="BG48" s="13">
        <f>'4.1 Comptes 2023 natures'!BG48/'4.1 Comptes 2023 natures'!BG3</f>
        <v>859.29555158681285</v>
      </c>
    </row>
    <row r="49" spans="2:59" x14ac:dyDescent="0.2">
      <c r="C49" s="8">
        <v>364</v>
      </c>
      <c r="D49" s="8" t="s">
        <v>111</v>
      </c>
      <c r="E49" s="13">
        <f>'4.1 Comptes 2023 natures'!E49/'4.1 Comptes 2023 natures'!E3</f>
        <v>0</v>
      </c>
      <c r="F49" s="13">
        <f>'4.1 Comptes 2023 natures'!F49/'4.1 Comptes 2023 natures'!F3</f>
        <v>0</v>
      </c>
      <c r="G49" s="13">
        <f>'4.1 Comptes 2023 natures'!G49/'4.1 Comptes 2023 natures'!G3</f>
        <v>0</v>
      </c>
      <c r="H49" s="13">
        <f>'4.1 Comptes 2023 natures'!H49/'4.1 Comptes 2023 natures'!H3</f>
        <v>0</v>
      </c>
      <c r="I49" s="13">
        <f>'4.1 Comptes 2023 natures'!I49/'4.1 Comptes 2023 natures'!I3</f>
        <v>0</v>
      </c>
      <c r="J49" s="13">
        <f>'4.1 Comptes 2023 natures'!J49/'4.1 Comptes 2023 natures'!J3</f>
        <v>0</v>
      </c>
      <c r="K49" s="13">
        <f>'4.1 Comptes 2023 natures'!K49/'4.1 Comptes 2023 natures'!K3</f>
        <v>0</v>
      </c>
      <c r="L49" s="13">
        <f>'4.1 Comptes 2023 natures'!L49/'4.1 Comptes 2023 natures'!L3</f>
        <v>0</v>
      </c>
      <c r="M49" s="13">
        <f>'4.1 Comptes 2023 natures'!M49/'4.1 Comptes 2023 natures'!M3</f>
        <v>0</v>
      </c>
      <c r="N49" s="13">
        <f>'4.1 Comptes 2023 natures'!N49/'4.1 Comptes 2023 natures'!N3</f>
        <v>0</v>
      </c>
      <c r="O49" s="13">
        <f>'4.1 Comptes 2023 natures'!O49/'4.1 Comptes 2023 natures'!O3</f>
        <v>0</v>
      </c>
      <c r="P49" s="13">
        <f>'4.1 Comptes 2023 natures'!P49/'4.1 Comptes 2023 natures'!P3</f>
        <v>0</v>
      </c>
      <c r="Q49" s="13">
        <f>'4.1 Comptes 2023 natures'!Q49/'4.1 Comptes 2023 natures'!Q3</f>
        <v>0</v>
      </c>
      <c r="R49" s="13">
        <f>'4.1 Comptes 2023 natures'!R49/'4.1 Comptes 2023 natures'!R3</f>
        <v>0</v>
      </c>
      <c r="S49" s="13">
        <f>'4.1 Comptes 2023 natures'!S49/'4.1 Comptes 2023 natures'!S3</f>
        <v>0</v>
      </c>
      <c r="T49" s="13">
        <f>'4.1 Comptes 2023 natures'!T49/'4.1 Comptes 2023 natures'!T3</f>
        <v>0</v>
      </c>
      <c r="U49" s="13">
        <f>'4.1 Comptes 2023 natures'!U49/'4.1 Comptes 2023 natures'!U3</f>
        <v>0</v>
      </c>
      <c r="V49" s="13">
        <f>'4.1 Comptes 2023 natures'!V49/'4.1 Comptes 2023 natures'!V3</f>
        <v>0</v>
      </c>
      <c r="W49" s="13">
        <f>'4.1 Comptes 2023 natures'!W49/'4.1 Comptes 2023 natures'!W3</f>
        <v>0</v>
      </c>
      <c r="X49" s="13">
        <f>'4.1 Comptes 2023 natures'!X49/'4.1 Comptes 2023 natures'!X3</f>
        <v>0</v>
      </c>
      <c r="Y49" s="13">
        <f>'4.1 Comptes 2023 natures'!Y49/'4.1 Comptes 2023 natures'!Y3</f>
        <v>0</v>
      </c>
      <c r="Z49" s="13">
        <f>'4.1 Comptes 2023 natures'!Z49/'4.1 Comptes 2023 natures'!Z3</f>
        <v>0</v>
      </c>
      <c r="AA49" s="13">
        <f>'4.1 Comptes 2023 natures'!AA49/'4.1 Comptes 2023 natures'!AA3</f>
        <v>0</v>
      </c>
      <c r="AB49" s="13">
        <f>'4.1 Comptes 2023 natures'!AB49/'4.1 Comptes 2023 natures'!AB3</f>
        <v>0</v>
      </c>
      <c r="AC49" s="13">
        <f>'4.1 Comptes 2023 natures'!AC49/'4.1 Comptes 2023 natures'!AC3</f>
        <v>0</v>
      </c>
      <c r="AD49" s="13">
        <f>'4.1 Comptes 2023 natures'!AD49/'4.1 Comptes 2023 natures'!AD3</f>
        <v>0</v>
      </c>
      <c r="AE49" s="13">
        <f>'4.1 Comptes 2023 natures'!AE49/'4.1 Comptes 2023 natures'!AE3</f>
        <v>0</v>
      </c>
      <c r="AF49" s="13">
        <f>'4.1 Comptes 2023 natures'!AF49/'4.1 Comptes 2023 natures'!AF3</f>
        <v>0</v>
      </c>
      <c r="AG49" s="13">
        <f>'4.1 Comptes 2023 natures'!AG49/'4.1 Comptes 2023 natures'!AG3</f>
        <v>0</v>
      </c>
      <c r="AH49" s="13">
        <f>'4.1 Comptes 2023 natures'!AH49/'4.1 Comptes 2023 natures'!AH3</f>
        <v>0</v>
      </c>
      <c r="AI49" s="13">
        <f>'4.1 Comptes 2023 natures'!AI49/'4.1 Comptes 2023 natures'!AI3</f>
        <v>0</v>
      </c>
      <c r="AJ49" s="13">
        <f>'4.1 Comptes 2023 natures'!AJ49/'4.1 Comptes 2023 natures'!AJ3</f>
        <v>0</v>
      </c>
      <c r="AK49" s="13">
        <f>'4.1 Comptes 2023 natures'!AK49/'4.1 Comptes 2023 natures'!AK3</f>
        <v>0</v>
      </c>
      <c r="AL49" s="13">
        <f>'4.1 Comptes 2023 natures'!AL49/'4.1 Comptes 2023 natures'!AL3</f>
        <v>0</v>
      </c>
      <c r="AM49" s="13">
        <f>'4.1 Comptes 2023 natures'!AM49/'4.1 Comptes 2023 natures'!AM3</f>
        <v>0</v>
      </c>
      <c r="AN49" s="13">
        <f>'4.1 Comptes 2023 natures'!AN49/'4.1 Comptes 2023 natures'!AN3</f>
        <v>0</v>
      </c>
      <c r="AO49" s="13">
        <f>'4.1 Comptes 2023 natures'!AO49/'4.1 Comptes 2023 natures'!AO3</f>
        <v>0</v>
      </c>
      <c r="AP49" s="13">
        <f>'4.1 Comptes 2023 natures'!AP49/'4.1 Comptes 2023 natures'!AP3</f>
        <v>0</v>
      </c>
      <c r="AQ49" s="13">
        <f>'4.1 Comptes 2023 natures'!AQ49/'4.1 Comptes 2023 natures'!AQ3</f>
        <v>0</v>
      </c>
      <c r="AR49" s="13">
        <f>'4.1 Comptes 2023 natures'!AR49/'4.1 Comptes 2023 natures'!AR3</f>
        <v>0</v>
      </c>
      <c r="AS49" s="13">
        <f>'4.1 Comptes 2023 natures'!AS49/'4.1 Comptes 2023 natures'!AS3</f>
        <v>0</v>
      </c>
      <c r="AT49" s="13">
        <f>'4.1 Comptes 2023 natures'!AT49/'4.1 Comptes 2023 natures'!AT3</f>
        <v>0</v>
      </c>
      <c r="AU49" s="13">
        <f>'4.1 Comptes 2023 natures'!AU49/'4.1 Comptes 2023 natures'!AU3</f>
        <v>0</v>
      </c>
      <c r="AV49" s="13">
        <f>'4.1 Comptes 2023 natures'!AV49/'4.1 Comptes 2023 natures'!AV3</f>
        <v>0</v>
      </c>
      <c r="AW49" s="13">
        <f>'4.1 Comptes 2023 natures'!AW49/'4.1 Comptes 2023 natures'!AW3</f>
        <v>0</v>
      </c>
      <c r="AX49" s="13">
        <f>'4.1 Comptes 2023 natures'!AX49/'4.1 Comptes 2023 natures'!AX3</f>
        <v>0</v>
      </c>
      <c r="AY49" s="13">
        <f>'4.1 Comptes 2023 natures'!AY49/'4.1 Comptes 2023 natures'!AY3</f>
        <v>0</v>
      </c>
      <c r="AZ49" s="13">
        <f>'4.1 Comptes 2023 natures'!AZ49/'4.1 Comptes 2023 natures'!AZ3</f>
        <v>0</v>
      </c>
      <c r="BA49" s="13">
        <f>'4.1 Comptes 2023 natures'!BA49/'4.1 Comptes 2023 natures'!BA3</f>
        <v>0</v>
      </c>
      <c r="BB49" s="13">
        <f>'4.1 Comptes 2023 natures'!BB49/'4.1 Comptes 2023 natures'!BB3</f>
        <v>0</v>
      </c>
      <c r="BC49" s="13">
        <f>'4.1 Comptes 2023 natures'!BC49/'4.1 Comptes 2023 natures'!BC3</f>
        <v>0</v>
      </c>
      <c r="BD49" s="13">
        <f>'4.1 Comptes 2023 natures'!BD49/'4.1 Comptes 2023 natures'!BD3</f>
        <v>0</v>
      </c>
      <c r="BE49" s="13">
        <f>'4.1 Comptes 2023 natures'!BE49/'4.1 Comptes 2023 natures'!BE3</f>
        <v>0</v>
      </c>
      <c r="BF49" s="13">
        <f>'4.1 Comptes 2023 natures'!BF49/'4.1 Comptes 2023 natures'!BF3</f>
        <v>0</v>
      </c>
      <c r="BG49" s="13">
        <f>'4.1 Comptes 2023 natures'!BG49/'4.1 Comptes 2023 natures'!BG3</f>
        <v>0</v>
      </c>
    </row>
    <row r="50" spans="2:59" x14ac:dyDescent="0.2">
      <c r="C50" s="8">
        <v>365</v>
      </c>
      <c r="D50" s="8" t="s">
        <v>112</v>
      </c>
      <c r="E50" s="13">
        <f>'4.1 Comptes 2023 natures'!E50/'4.1 Comptes 2023 natures'!E3</f>
        <v>0</v>
      </c>
      <c r="F50" s="13">
        <f>'4.1 Comptes 2023 natures'!F50/'4.1 Comptes 2023 natures'!F3</f>
        <v>0</v>
      </c>
      <c r="G50" s="13">
        <f>'4.1 Comptes 2023 natures'!G50/'4.1 Comptes 2023 natures'!G3</f>
        <v>0</v>
      </c>
      <c r="H50" s="13">
        <f>'4.1 Comptes 2023 natures'!H50/'4.1 Comptes 2023 natures'!H3</f>
        <v>0</v>
      </c>
      <c r="I50" s="13">
        <f>'4.1 Comptes 2023 natures'!I50/'4.1 Comptes 2023 natures'!I3</f>
        <v>0</v>
      </c>
      <c r="J50" s="13">
        <f>'4.1 Comptes 2023 natures'!J50/'4.1 Comptes 2023 natures'!J3</f>
        <v>0</v>
      </c>
      <c r="K50" s="13">
        <f>'4.1 Comptes 2023 natures'!K50/'4.1 Comptes 2023 natures'!K3</f>
        <v>0</v>
      </c>
      <c r="L50" s="13">
        <f>'4.1 Comptes 2023 natures'!L50/'4.1 Comptes 2023 natures'!L3</f>
        <v>0</v>
      </c>
      <c r="M50" s="13">
        <f>'4.1 Comptes 2023 natures'!M50/'4.1 Comptes 2023 natures'!M3</f>
        <v>0</v>
      </c>
      <c r="N50" s="13">
        <f>'4.1 Comptes 2023 natures'!N50/'4.1 Comptes 2023 natures'!N3</f>
        <v>0</v>
      </c>
      <c r="O50" s="13">
        <f>'4.1 Comptes 2023 natures'!O50/'4.1 Comptes 2023 natures'!O3</f>
        <v>0</v>
      </c>
      <c r="P50" s="13">
        <f>'4.1 Comptes 2023 natures'!P50/'4.1 Comptes 2023 natures'!P3</f>
        <v>0</v>
      </c>
      <c r="Q50" s="13">
        <f>'4.1 Comptes 2023 natures'!Q50/'4.1 Comptes 2023 natures'!Q3</f>
        <v>0</v>
      </c>
      <c r="R50" s="13">
        <f>'4.1 Comptes 2023 natures'!R50/'4.1 Comptes 2023 natures'!R3</f>
        <v>0</v>
      </c>
      <c r="S50" s="13">
        <f>'4.1 Comptes 2023 natures'!S50/'4.1 Comptes 2023 natures'!S3</f>
        <v>0</v>
      </c>
      <c r="T50" s="13">
        <f>'4.1 Comptes 2023 natures'!T50/'4.1 Comptes 2023 natures'!T3</f>
        <v>0</v>
      </c>
      <c r="U50" s="13">
        <f>'4.1 Comptes 2023 natures'!U50/'4.1 Comptes 2023 natures'!U3</f>
        <v>29.670329670329672</v>
      </c>
      <c r="V50" s="13">
        <f>'4.1 Comptes 2023 natures'!V50/'4.1 Comptes 2023 natures'!V3</f>
        <v>0</v>
      </c>
      <c r="W50" s="13">
        <f>'4.1 Comptes 2023 natures'!W50/'4.1 Comptes 2023 natures'!W3</f>
        <v>0</v>
      </c>
      <c r="X50" s="13">
        <f>'4.1 Comptes 2023 natures'!X50/'4.1 Comptes 2023 natures'!X3</f>
        <v>0</v>
      </c>
      <c r="Y50" s="13">
        <f>'4.1 Comptes 2023 natures'!Y50/'4.1 Comptes 2023 natures'!Y3</f>
        <v>0</v>
      </c>
      <c r="Z50" s="13">
        <f>'4.1 Comptes 2023 natures'!Z50/'4.1 Comptes 2023 natures'!Z3</f>
        <v>0</v>
      </c>
      <c r="AA50" s="13">
        <f>'4.1 Comptes 2023 natures'!AA50/'4.1 Comptes 2023 natures'!AA3</f>
        <v>0</v>
      </c>
      <c r="AB50" s="13">
        <f>'4.1 Comptes 2023 natures'!AB50/'4.1 Comptes 2023 natures'!AB3</f>
        <v>0</v>
      </c>
      <c r="AC50" s="13">
        <f>'4.1 Comptes 2023 natures'!AC50/'4.1 Comptes 2023 natures'!AC3</f>
        <v>0</v>
      </c>
      <c r="AD50" s="13">
        <f>'4.1 Comptes 2023 natures'!AD50/'4.1 Comptes 2023 natures'!AD3</f>
        <v>0</v>
      </c>
      <c r="AE50" s="13">
        <f>'4.1 Comptes 2023 natures'!AE50/'4.1 Comptes 2023 natures'!AE3</f>
        <v>0</v>
      </c>
      <c r="AF50" s="13">
        <f>'4.1 Comptes 2023 natures'!AF50/'4.1 Comptes 2023 natures'!AF3</f>
        <v>0</v>
      </c>
      <c r="AG50" s="13">
        <f>'4.1 Comptes 2023 natures'!AG50/'4.1 Comptes 2023 natures'!AG3</f>
        <v>0</v>
      </c>
      <c r="AH50" s="13">
        <f>'4.1 Comptes 2023 natures'!AH50/'4.1 Comptes 2023 natures'!AH3</f>
        <v>0</v>
      </c>
      <c r="AI50" s="13">
        <f>'4.1 Comptes 2023 natures'!AI50/'4.1 Comptes 2023 natures'!AI3</f>
        <v>0</v>
      </c>
      <c r="AJ50" s="13">
        <f>'4.1 Comptes 2023 natures'!AJ50/'4.1 Comptes 2023 natures'!AJ3</f>
        <v>0</v>
      </c>
      <c r="AK50" s="13">
        <f>'4.1 Comptes 2023 natures'!AK50/'4.1 Comptes 2023 natures'!AK3</f>
        <v>0</v>
      </c>
      <c r="AL50" s="13">
        <f>'4.1 Comptes 2023 natures'!AL50/'4.1 Comptes 2023 natures'!AL3</f>
        <v>0</v>
      </c>
      <c r="AM50" s="13">
        <f>'4.1 Comptes 2023 natures'!AM50/'4.1 Comptes 2023 natures'!AM3</f>
        <v>0</v>
      </c>
      <c r="AN50" s="13">
        <f>'4.1 Comptes 2023 natures'!AN50/'4.1 Comptes 2023 natures'!AN3</f>
        <v>0</v>
      </c>
      <c r="AO50" s="13">
        <f>'4.1 Comptes 2023 natures'!AO50/'4.1 Comptes 2023 natures'!AO3</f>
        <v>0</v>
      </c>
      <c r="AP50" s="13">
        <f>'4.1 Comptes 2023 natures'!AP50/'4.1 Comptes 2023 natures'!AP3</f>
        <v>0</v>
      </c>
      <c r="AQ50" s="13">
        <f>'4.1 Comptes 2023 natures'!AQ50/'4.1 Comptes 2023 natures'!AQ3</f>
        <v>0</v>
      </c>
      <c r="AR50" s="13">
        <f>'4.1 Comptes 2023 natures'!AR50/'4.1 Comptes 2023 natures'!AR3</f>
        <v>0</v>
      </c>
      <c r="AS50" s="13">
        <f>'4.1 Comptes 2023 natures'!AS50/'4.1 Comptes 2023 natures'!AS3</f>
        <v>0</v>
      </c>
      <c r="AT50" s="13">
        <f>'4.1 Comptes 2023 natures'!AT50/'4.1 Comptes 2023 natures'!AT3</f>
        <v>0</v>
      </c>
      <c r="AU50" s="13">
        <f>'4.1 Comptes 2023 natures'!AU50/'4.1 Comptes 2023 natures'!AU3</f>
        <v>0</v>
      </c>
      <c r="AV50" s="13">
        <f>'4.1 Comptes 2023 natures'!AV50/'4.1 Comptes 2023 natures'!AV3</f>
        <v>0</v>
      </c>
      <c r="AW50" s="13">
        <f>'4.1 Comptes 2023 natures'!AW50/'4.1 Comptes 2023 natures'!AW3</f>
        <v>0</v>
      </c>
      <c r="AX50" s="13">
        <f>'4.1 Comptes 2023 natures'!AX50/'4.1 Comptes 2023 natures'!AX3</f>
        <v>0</v>
      </c>
      <c r="AY50" s="13">
        <f>'4.1 Comptes 2023 natures'!AY50/'4.1 Comptes 2023 natures'!AY3</f>
        <v>7.8931390406800244</v>
      </c>
      <c r="AZ50" s="13">
        <f>'4.1 Comptes 2023 natures'!AZ50/'4.1 Comptes 2023 natures'!AZ3</f>
        <v>0</v>
      </c>
      <c r="BA50" s="13">
        <f>'4.1 Comptes 2023 natures'!BA50/'4.1 Comptes 2023 natures'!BA3</f>
        <v>0</v>
      </c>
      <c r="BB50" s="13">
        <f>'4.1 Comptes 2023 natures'!BB50/'4.1 Comptes 2023 natures'!BB3</f>
        <v>0</v>
      </c>
      <c r="BC50" s="13">
        <f>'4.1 Comptes 2023 natures'!BC50/'4.1 Comptes 2023 natures'!BC3</f>
        <v>0</v>
      </c>
      <c r="BD50" s="13">
        <f>'4.1 Comptes 2023 natures'!BD50/'4.1 Comptes 2023 natures'!BD3</f>
        <v>0.28303911573751139</v>
      </c>
      <c r="BE50" s="13">
        <f>'4.1 Comptes 2023 natures'!BE50/'4.1 Comptes 2023 natures'!BE3</f>
        <v>0.20423600605143721</v>
      </c>
      <c r="BF50" s="13">
        <f>'4.1 Comptes 2023 natures'!BF50/'4.1 Comptes 2023 natures'!BF3</f>
        <v>0</v>
      </c>
      <c r="BG50" s="13">
        <f>'4.1 Comptes 2023 natures'!BG50/'4.1 Comptes 2023 natures'!BG3</f>
        <v>0.53372747054234926</v>
      </c>
    </row>
    <row r="51" spans="2:59" x14ac:dyDescent="0.2">
      <c r="C51" s="8">
        <v>366</v>
      </c>
      <c r="D51" s="8" t="s">
        <v>113</v>
      </c>
      <c r="E51" s="13">
        <f>'4.1 Comptes 2023 natures'!E51/'4.1 Comptes 2023 natures'!E3</f>
        <v>8.2261082206035372</v>
      </c>
      <c r="F51" s="13">
        <f>'4.1 Comptes 2023 natures'!F51/'4.1 Comptes 2023 natures'!F3</f>
        <v>0</v>
      </c>
      <c r="G51" s="13">
        <f>'4.1 Comptes 2023 natures'!G51/'4.1 Comptes 2023 natures'!G3</f>
        <v>0</v>
      </c>
      <c r="H51" s="13">
        <f>'4.1 Comptes 2023 natures'!H51/'4.1 Comptes 2023 natures'!H3</f>
        <v>5.7807865168539321</v>
      </c>
      <c r="I51" s="13">
        <f>'4.1 Comptes 2023 natures'!I51/'4.1 Comptes 2023 natures'!I3</f>
        <v>45.37676574856831</v>
      </c>
      <c r="J51" s="13">
        <f>'4.1 Comptes 2023 natures'!J51/'4.1 Comptes 2023 natures'!J3</f>
        <v>0</v>
      </c>
      <c r="K51" s="13">
        <f>'4.1 Comptes 2023 natures'!K51/'4.1 Comptes 2023 natures'!K3</f>
        <v>5.3112151248164468</v>
      </c>
      <c r="L51" s="13">
        <f>'4.1 Comptes 2023 natures'!L51/'4.1 Comptes 2023 natures'!L3</f>
        <v>47.406311327419736</v>
      </c>
      <c r="M51" s="13">
        <f>'4.1 Comptes 2023 natures'!M51/'4.1 Comptes 2023 natures'!M3</f>
        <v>7.7988338192419828</v>
      </c>
      <c r="N51" s="13">
        <f>'4.1 Comptes 2023 natures'!N51/'4.1 Comptes 2023 natures'!N3</f>
        <v>0</v>
      </c>
      <c r="O51" s="13">
        <f>'4.1 Comptes 2023 natures'!O51/'4.1 Comptes 2023 natures'!O3</f>
        <v>10.110145340939962</v>
      </c>
      <c r="P51" s="13">
        <f>'4.1 Comptes 2023 natures'!P51/'4.1 Comptes 2023 natures'!P3</f>
        <v>5.6099065420560752</v>
      </c>
      <c r="Q51" s="13">
        <f>'4.1 Comptes 2023 natures'!Q51/'4.1 Comptes 2023 natures'!Q3</f>
        <v>0</v>
      </c>
      <c r="R51" s="13">
        <f>'4.1 Comptes 2023 natures'!R51/'4.1 Comptes 2023 natures'!R3</f>
        <v>0</v>
      </c>
      <c r="S51" s="13">
        <f>'4.1 Comptes 2023 natures'!S51/'4.1 Comptes 2023 natures'!S3</f>
        <v>0</v>
      </c>
      <c r="T51" s="13">
        <f>'4.1 Comptes 2023 natures'!T51/'4.1 Comptes 2023 natures'!T3</f>
        <v>0</v>
      </c>
      <c r="U51" s="13">
        <f>'4.1 Comptes 2023 natures'!U51/'4.1 Comptes 2023 natures'!U3</f>
        <v>2.445238095238095</v>
      </c>
      <c r="V51" s="13">
        <f>'4.1 Comptes 2023 natures'!V51/'4.1 Comptes 2023 natures'!V3</f>
        <v>0</v>
      </c>
      <c r="W51" s="13">
        <f>'4.1 Comptes 2023 natures'!W51/'4.1 Comptes 2023 natures'!W3</f>
        <v>4.069379014989293</v>
      </c>
      <c r="X51" s="13">
        <f>'4.1 Comptes 2023 natures'!X51/'4.1 Comptes 2023 natures'!X3</f>
        <v>0</v>
      </c>
      <c r="Y51" s="13">
        <f>'4.1 Comptes 2023 natures'!Y51/'4.1 Comptes 2023 natures'!Y3</f>
        <v>0</v>
      </c>
      <c r="Z51" s="13">
        <f>'4.1 Comptes 2023 natures'!Z51/'4.1 Comptes 2023 natures'!Z3</f>
        <v>0</v>
      </c>
      <c r="AA51" s="13">
        <f>'4.1 Comptes 2023 natures'!AA51/'4.1 Comptes 2023 natures'!AA3</f>
        <v>0</v>
      </c>
      <c r="AB51" s="13">
        <f>'4.1 Comptes 2023 natures'!AB51/'4.1 Comptes 2023 natures'!AB3</f>
        <v>0</v>
      </c>
      <c r="AC51" s="13">
        <f>'4.1 Comptes 2023 natures'!AC51/'4.1 Comptes 2023 natures'!AC3</f>
        <v>0</v>
      </c>
      <c r="AD51" s="13">
        <f>'4.1 Comptes 2023 natures'!AD51/'4.1 Comptes 2023 natures'!AD3</f>
        <v>0</v>
      </c>
      <c r="AE51" s="13">
        <f>'4.1 Comptes 2023 natures'!AE51/'4.1 Comptes 2023 natures'!AE3</f>
        <v>0</v>
      </c>
      <c r="AF51" s="13">
        <f>'4.1 Comptes 2023 natures'!AF51/'4.1 Comptes 2023 natures'!AF3</f>
        <v>0</v>
      </c>
      <c r="AG51" s="13">
        <f>'4.1 Comptes 2023 natures'!AG51/'4.1 Comptes 2023 natures'!AG3</f>
        <v>0</v>
      </c>
      <c r="AH51" s="13">
        <f>'4.1 Comptes 2023 natures'!AH51/'4.1 Comptes 2023 natures'!AH3</f>
        <v>0</v>
      </c>
      <c r="AI51" s="13">
        <f>'4.1 Comptes 2023 natures'!AI51/'4.1 Comptes 2023 natures'!AI3</f>
        <v>0</v>
      </c>
      <c r="AJ51" s="13">
        <f>'4.1 Comptes 2023 natures'!AJ51/'4.1 Comptes 2023 natures'!AJ3</f>
        <v>0</v>
      </c>
      <c r="AK51" s="13">
        <f>'4.1 Comptes 2023 natures'!AK51/'4.1 Comptes 2023 natures'!AK3</f>
        <v>0</v>
      </c>
      <c r="AL51" s="13">
        <f>'4.1 Comptes 2023 natures'!AL51/'4.1 Comptes 2023 natures'!AL3</f>
        <v>0</v>
      </c>
      <c r="AM51" s="13">
        <f>'4.1 Comptes 2023 natures'!AM51/'4.1 Comptes 2023 natures'!AM3</f>
        <v>0</v>
      </c>
      <c r="AN51" s="13">
        <f>'4.1 Comptes 2023 natures'!AN51/'4.1 Comptes 2023 natures'!AN3</f>
        <v>0</v>
      </c>
      <c r="AO51" s="13">
        <f>'4.1 Comptes 2023 natures'!AO51/'4.1 Comptes 2023 natures'!AO3</f>
        <v>0.92671755725190841</v>
      </c>
      <c r="AP51" s="13">
        <f>'4.1 Comptes 2023 natures'!AP51/'4.1 Comptes 2023 natures'!AP3</f>
        <v>0.89857369255150554</v>
      </c>
      <c r="AQ51" s="13">
        <f>'4.1 Comptes 2023 natures'!AQ51/'4.1 Comptes 2023 natures'!AQ3</f>
        <v>0</v>
      </c>
      <c r="AR51" s="13">
        <f>'4.1 Comptes 2023 natures'!AR51/'4.1 Comptes 2023 natures'!AR3</f>
        <v>0.58529819694868235</v>
      </c>
      <c r="AS51" s="13">
        <f>'4.1 Comptes 2023 natures'!AS51/'4.1 Comptes 2023 natures'!AS3</f>
        <v>0</v>
      </c>
      <c r="AT51" s="13">
        <f>'4.1 Comptes 2023 natures'!AT51/'4.1 Comptes 2023 natures'!AT3</f>
        <v>1.0764331210191083</v>
      </c>
      <c r="AU51" s="13">
        <f>'4.1 Comptes 2023 natures'!AU51/'4.1 Comptes 2023 natures'!AU3</f>
        <v>0</v>
      </c>
      <c r="AV51" s="13">
        <f>'4.1 Comptes 2023 natures'!AV51/'4.1 Comptes 2023 natures'!AV3</f>
        <v>0.81782945736434109</v>
      </c>
      <c r="AW51" s="13">
        <f>'4.1 Comptes 2023 natures'!AW51/'4.1 Comptes 2023 natures'!AW3</f>
        <v>1.2176308539944904</v>
      </c>
      <c r="AX51" s="13">
        <f>'4.1 Comptes 2023 natures'!AX51/'4.1 Comptes 2023 natures'!AX3</f>
        <v>0.93674698795180722</v>
      </c>
      <c r="AY51" s="13">
        <f>'4.1 Comptes 2023 natures'!AY51/'4.1 Comptes 2023 natures'!AY3</f>
        <v>0.9696417729204615</v>
      </c>
      <c r="AZ51" s="13">
        <f>'4.1 Comptes 2023 natures'!AZ51/'4.1 Comptes 2023 natures'!AZ3</f>
        <v>0.83727034120734911</v>
      </c>
      <c r="BA51" s="13">
        <f>'4.1 Comptes 2023 natures'!BA51/'4.1 Comptes 2023 natures'!BA3</f>
        <v>1.0249763481551561</v>
      </c>
      <c r="BB51" s="13">
        <f>'4.1 Comptes 2023 natures'!BB51/'4.1 Comptes 2023 natures'!BB3</f>
        <v>0</v>
      </c>
      <c r="BC51" s="13">
        <f>'4.1 Comptes 2023 natures'!BC51/'4.1 Comptes 2023 natures'!BC3</f>
        <v>1.0786106032906764</v>
      </c>
      <c r="BD51" s="13">
        <f>'4.1 Comptes 2023 natures'!BD51/'4.1 Comptes 2023 natures'!BD3</f>
        <v>12.129943526318616</v>
      </c>
      <c r="BE51" s="13">
        <f>'4.1 Comptes 2023 natures'!BE51/'4.1 Comptes 2023 natures'!BE3</f>
        <v>22.626163136661628</v>
      </c>
      <c r="BF51" s="13">
        <f>'4.1 Comptes 2023 natures'!BF51/'4.1 Comptes 2023 natures'!BF3</f>
        <v>0</v>
      </c>
      <c r="BG51" s="13">
        <f>'4.1 Comptes 2023 natures'!BG51/'4.1 Comptes 2023 natures'!BG3</f>
        <v>0.28367204499733134</v>
      </c>
    </row>
    <row r="52" spans="2:59" x14ac:dyDescent="0.2">
      <c r="C52" s="8">
        <v>369</v>
      </c>
      <c r="D52" s="8" t="s">
        <v>114</v>
      </c>
      <c r="E52" s="13">
        <f>'4.1 Comptes 2023 natures'!E52/'4.1 Comptes 2023 natures'!E3</f>
        <v>0</v>
      </c>
      <c r="F52" s="13">
        <f>'4.1 Comptes 2023 natures'!F52/'4.1 Comptes 2023 natures'!F3</f>
        <v>7.1379310344827589</v>
      </c>
      <c r="G52" s="13">
        <f>'4.1 Comptes 2023 natures'!G52/'4.1 Comptes 2023 natures'!G3</f>
        <v>0</v>
      </c>
      <c r="H52" s="13">
        <f>'4.1 Comptes 2023 natures'!H52/'4.1 Comptes 2023 natures'!H3</f>
        <v>95.103865168539329</v>
      </c>
      <c r="I52" s="13">
        <f>'4.1 Comptes 2023 natures'!I52/'4.1 Comptes 2023 natures'!I3</f>
        <v>0</v>
      </c>
      <c r="J52" s="13">
        <f>'4.1 Comptes 2023 natures'!J52/'4.1 Comptes 2023 natures'!J3</f>
        <v>12.760862779740872</v>
      </c>
      <c r="K52" s="13">
        <f>'4.1 Comptes 2023 natures'!K52/'4.1 Comptes 2023 natures'!K3</f>
        <v>0</v>
      </c>
      <c r="L52" s="13">
        <f>'4.1 Comptes 2023 natures'!L52/'4.1 Comptes 2023 natures'!L3</f>
        <v>366.30199152209752</v>
      </c>
      <c r="M52" s="13">
        <f>'4.1 Comptes 2023 natures'!M52/'4.1 Comptes 2023 natures'!M3</f>
        <v>166.10292274052478</v>
      </c>
      <c r="N52" s="13">
        <f>'4.1 Comptes 2023 natures'!N52/'4.1 Comptes 2023 natures'!N3</f>
        <v>0</v>
      </c>
      <c r="O52" s="13">
        <f>'4.1 Comptes 2023 natures'!O52/'4.1 Comptes 2023 natures'!O3</f>
        <v>2.5158516707416463</v>
      </c>
      <c r="P52" s="13">
        <f>'4.1 Comptes 2023 natures'!P52/'4.1 Comptes 2023 natures'!P3</f>
        <v>0</v>
      </c>
      <c r="Q52" s="13">
        <f>'4.1 Comptes 2023 natures'!Q52/'4.1 Comptes 2023 natures'!Q3</f>
        <v>0</v>
      </c>
      <c r="R52" s="13">
        <f>'4.1 Comptes 2023 natures'!R52/'4.1 Comptes 2023 natures'!R3</f>
        <v>8.7642857142857142</v>
      </c>
      <c r="S52" s="13">
        <f>'4.1 Comptes 2023 natures'!S52/'4.1 Comptes 2023 natures'!S3</f>
        <v>0</v>
      </c>
      <c r="T52" s="13">
        <f>'4.1 Comptes 2023 natures'!T52/'4.1 Comptes 2023 natures'!T3</f>
        <v>0</v>
      </c>
      <c r="U52" s="13">
        <f>'4.1 Comptes 2023 natures'!U52/'4.1 Comptes 2023 natures'!U3</f>
        <v>7.7472527472527473</v>
      </c>
      <c r="V52" s="13">
        <f>'4.1 Comptes 2023 natures'!V52/'4.1 Comptes 2023 natures'!V3</f>
        <v>0</v>
      </c>
      <c r="W52" s="13">
        <f>'4.1 Comptes 2023 natures'!W52/'4.1 Comptes 2023 natures'!W3</f>
        <v>0</v>
      </c>
      <c r="X52" s="13">
        <f>'4.1 Comptes 2023 natures'!X52/'4.1 Comptes 2023 natures'!X3</f>
        <v>0</v>
      </c>
      <c r="Y52" s="13">
        <f>'4.1 Comptes 2023 natures'!Y52/'4.1 Comptes 2023 natures'!Y3</f>
        <v>6.088658146964856</v>
      </c>
      <c r="Z52" s="13">
        <f>'4.1 Comptes 2023 natures'!Z52/'4.1 Comptes 2023 natures'!Z3</f>
        <v>7.969549330085262</v>
      </c>
      <c r="AA52" s="13">
        <f>'4.1 Comptes 2023 natures'!AA52/'4.1 Comptes 2023 natures'!AA3</f>
        <v>0</v>
      </c>
      <c r="AB52" s="13">
        <f>'4.1 Comptes 2023 natures'!AB52/'4.1 Comptes 2023 natures'!AB3</f>
        <v>0</v>
      </c>
      <c r="AC52" s="13">
        <f>'4.1 Comptes 2023 natures'!AC52/'4.1 Comptes 2023 natures'!AC3</f>
        <v>32.992253521126763</v>
      </c>
      <c r="AD52" s="13">
        <f>'4.1 Comptes 2023 natures'!AD52/'4.1 Comptes 2023 natures'!AD3</f>
        <v>5.9647526501766786</v>
      </c>
      <c r="AE52" s="13">
        <f>'4.1 Comptes 2023 natures'!AE52/'4.1 Comptes 2023 natures'!AE3</f>
        <v>13.833661417322835</v>
      </c>
      <c r="AF52" s="13">
        <f>'4.1 Comptes 2023 natures'!AF52/'4.1 Comptes 2023 natures'!AF3</f>
        <v>7.7399080224833927</v>
      </c>
      <c r="AG52" s="13">
        <f>'4.1 Comptes 2023 natures'!AG52/'4.1 Comptes 2023 natures'!AG3</f>
        <v>8.2324766355140184</v>
      </c>
      <c r="AH52" s="13">
        <f>'4.1 Comptes 2023 natures'!AH52/'4.1 Comptes 2023 natures'!AH3</f>
        <v>4.8577405857740583</v>
      </c>
      <c r="AI52" s="13">
        <f>'4.1 Comptes 2023 natures'!AI52/'4.1 Comptes 2023 natures'!AI3</f>
        <v>0</v>
      </c>
      <c r="AJ52" s="13">
        <f>'4.1 Comptes 2023 natures'!AJ52/'4.1 Comptes 2023 natures'!AJ3</f>
        <v>0</v>
      </c>
      <c r="AK52" s="13">
        <f>'4.1 Comptes 2023 natures'!AK52/'4.1 Comptes 2023 natures'!AK3</f>
        <v>0</v>
      </c>
      <c r="AL52" s="13">
        <f>'4.1 Comptes 2023 natures'!AL52/'4.1 Comptes 2023 natures'!AL3</f>
        <v>1.458852867830424</v>
      </c>
      <c r="AM52" s="13">
        <f>'4.1 Comptes 2023 natures'!AM52/'4.1 Comptes 2023 natures'!AM3</f>
        <v>0</v>
      </c>
      <c r="AN52" s="13">
        <f>'4.1 Comptes 2023 natures'!AN52/'4.1 Comptes 2023 natures'!AN3</f>
        <v>0</v>
      </c>
      <c r="AO52" s="13">
        <f>'4.1 Comptes 2023 natures'!AO52/'4.1 Comptes 2023 natures'!AO3</f>
        <v>0</v>
      </c>
      <c r="AP52" s="13">
        <f>'4.1 Comptes 2023 natures'!AP52/'4.1 Comptes 2023 natures'!AP3</f>
        <v>8.4865293185419972</v>
      </c>
      <c r="AQ52" s="13">
        <f>'4.1 Comptes 2023 natures'!AQ52/'4.1 Comptes 2023 natures'!AQ3</f>
        <v>5.2302936630602783</v>
      </c>
      <c r="AR52" s="13">
        <f>'4.1 Comptes 2023 natures'!AR52/'4.1 Comptes 2023 natures'!AR3</f>
        <v>8.9778085991678225</v>
      </c>
      <c r="AS52" s="13">
        <f>'4.1 Comptes 2023 natures'!AS52/'4.1 Comptes 2023 natures'!AS3</f>
        <v>0</v>
      </c>
      <c r="AT52" s="13">
        <f>'4.1 Comptes 2023 natures'!AT52/'4.1 Comptes 2023 natures'!AT3</f>
        <v>9.5541401273885357E-2</v>
      </c>
      <c r="AU52" s="13">
        <f>'4.1 Comptes 2023 natures'!AU52/'4.1 Comptes 2023 natures'!AU3</f>
        <v>0</v>
      </c>
      <c r="AV52" s="13">
        <f>'4.1 Comptes 2023 natures'!AV52/'4.1 Comptes 2023 natures'!AV3</f>
        <v>0</v>
      </c>
      <c r="AW52" s="13">
        <f>'4.1 Comptes 2023 natures'!AW52/'4.1 Comptes 2023 natures'!AW3</f>
        <v>8.7520661157024797</v>
      </c>
      <c r="AX52" s="13">
        <f>'4.1 Comptes 2023 natures'!AX52/'4.1 Comptes 2023 natures'!AX3</f>
        <v>8.5662650602409638</v>
      </c>
      <c r="AY52" s="13">
        <f>'4.1 Comptes 2023 natures'!AY52/'4.1 Comptes 2023 natures'!AY3</f>
        <v>0</v>
      </c>
      <c r="AZ52" s="13">
        <f>'4.1 Comptes 2023 natures'!AZ52/'4.1 Comptes 2023 natures'!AZ3</f>
        <v>0.17139107611548557</v>
      </c>
      <c r="BA52" s="13">
        <f>'4.1 Comptes 2023 natures'!BA52/'4.1 Comptes 2023 natures'!BA3</f>
        <v>0</v>
      </c>
      <c r="BB52" s="13">
        <f>'4.1 Comptes 2023 natures'!BB52/'4.1 Comptes 2023 natures'!BB3</f>
        <v>0</v>
      </c>
      <c r="BC52" s="13">
        <f>'4.1 Comptes 2023 natures'!BC52/'4.1 Comptes 2023 natures'!BC3</f>
        <v>8.8848263254113338</v>
      </c>
      <c r="BD52" s="13">
        <f>'4.1 Comptes 2023 natures'!BD52/'4.1 Comptes 2023 natures'!BD3</f>
        <v>68.80621130010195</v>
      </c>
      <c r="BE52" s="13">
        <f>'4.1 Comptes 2023 natures'!BE52/'4.1 Comptes 2023 natures'!BE3</f>
        <v>126.22420801815433</v>
      </c>
      <c r="BF52" s="13">
        <f>'4.1 Comptes 2023 natures'!BF52/'4.1 Comptes 2023 natures'!BF3</f>
        <v>8.7347877694425975</v>
      </c>
      <c r="BG52" s="13">
        <f>'4.1 Comptes 2023 natures'!BG52/'4.1 Comptes 2023 natures'!BG3</f>
        <v>1.2861723529170259</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7">F55</f>
        <v>0</v>
      </c>
      <c r="G54" s="76">
        <f t="shared" si="7"/>
        <v>0</v>
      </c>
      <c r="H54" s="76">
        <f t="shared" si="7"/>
        <v>0</v>
      </c>
      <c r="I54" s="76">
        <f t="shared" si="7"/>
        <v>0</v>
      </c>
      <c r="J54" s="76">
        <f t="shared" si="7"/>
        <v>0</v>
      </c>
      <c r="K54" s="76">
        <f t="shared" si="7"/>
        <v>0</v>
      </c>
      <c r="L54" s="76">
        <f t="shared" si="7"/>
        <v>0</v>
      </c>
      <c r="M54" s="76">
        <f t="shared" si="7"/>
        <v>0</v>
      </c>
      <c r="N54" s="76">
        <f t="shared" si="7"/>
        <v>0</v>
      </c>
      <c r="O54" s="76">
        <f t="shared" si="7"/>
        <v>0</v>
      </c>
      <c r="P54" s="76">
        <f t="shared" si="7"/>
        <v>0</v>
      </c>
      <c r="Q54" s="76">
        <f t="shared" si="7"/>
        <v>0</v>
      </c>
      <c r="R54" s="76">
        <f t="shared" si="7"/>
        <v>0</v>
      </c>
      <c r="S54" s="76">
        <f t="shared" si="7"/>
        <v>0</v>
      </c>
      <c r="T54" s="76">
        <f t="shared" si="7"/>
        <v>0</v>
      </c>
      <c r="U54" s="76">
        <f t="shared" si="7"/>
        <v>0</v>
      </c>
      <c r="V54" s="76">
        <f t="shared" si="7"/>
        <v>0</v>
      </c>
      <c r="W54" s="76">
        <f t="shared" si="7"/>
        <v>0</v>
      </c>
      <c r="X54" s="76">
        <f t="shared" si="7"/>
        <v>1413.2285245901639</v>
      </c>
      <c r="Y54" s="76">
        <f t="shared" si="7"/>
        <v>0</v>
      </c>
      <c r="Z54" s="76">
        <f t="shared" si="7"/>
        <v>356.54652862362974</v>
      </c>
      <c r="AA54" s="76">
        <f t="shared" si="7"/>
        <v>1146.388255033557</v>
      </c>
      <c r="AB54" s="76">
        <f t="shared" si="7"/>
        <v>308.1913725490196</v>
      </c>
      <c r="AC54" s="76">
        <f t="shared" si="7"/>
        <v>0</v>
      </c>
      <c r="AD54" s="76">
        <f t="shared" si="7"/>
        <v>440.35512367491168</v>
      </c>
      <c r="AE54" s="76">
        <f t="shared" si="7"/>
        <v>1199.1114173228345</v>
      </c>
      <c r="AF54" s="76">
        <f t="shared" si="7"/>
        <v>179.79340827797651</v>
      </c>
      <c r="AG54" s="76">
        <f t="shared" si="7"/>
        <v>0</v>
      </c>
      <c r="AH54" s="76">
        <f t="shared" si="7"/>
        <v>11.98326359832636</v>
      </c>
      <c r="AI54" s="76">
        <f t="shared" si="7"/>
        <v>0</v>
      </c>
      <c r="AJ54" s="76">
        <f t="shared" si="7"/>
        <v>0</v>
      </c>
      <c r="AK54" s="76">
        <f t="shared" si="7"/>
        <v>0</v>
      </c>
      <c r="AL54" s="76">
        <f t="shared" si="7"/>
        <v>0</v>
      </c>
      <c r="AM54" s="76">
        <f t="shared" si="7"/>
        <v>0</v>
      </c>
      <c r="AN54" s="76">
        <f t="shared" si="7"/>
        <v>0</v>
      </c>
      <c r="AO54" s="76">
        <f t="shared" si="7"/>
        <v>2.2740458015267175</v>
      </c>
      <c r="AP54" s="76">
        <f t="shared" si="7"/>
        <v>0</v>
      </c>
      <c r="AQ54" s="76">
        <f t="shared" si="7"/>
        <v>39.554057187017001</v>
      </c>
      <c r="AR54" s="76">
        <f t="shared" si="7"/>
        <v>0</v>
      </c>
      <c r="AS54" s="76">
        <f t="shared" si="7"/>
        <v>0</v>
      </c>
      <c r="AT54" s="76">
        <f t="shared" si="7"/>
        <v>0</v>
      </c>
      <c r="AU54" s="76">
        <f t="shared" si="7"/>
        <v>17.286363636363635</v>
      </c>
      <c r="AV54" s="76">
        <f t="shared" si="7"/>
        <v>12.480620155038761</v>
      </c>
      <c r="AW54" s="76">
        <f t="shared" si="7"/>
        <v>0</v>
      </c>
      <c r="AX54" s="76">
        <f t="shared" si="7"/>
        <v>0</v>
      </c>
      <c r="AY54" s="76">
        <f t="shared" si="7"/>
        <v>0</v>
      </c>
      <c r="AZ54" s="76">
        <f t="shared" si="7"/>
        <v>0</v>
      </c>
      <c r="BA54" s="76">
        <f t="shared" si="7"/>
        <v>0</v>
      </c>
      <c r="BB54" s="76">
        <f t="shared" si="7"/>
        <v>0</v>
      </c>
      <c r="BC54" s="76">
        <f t="shared" si="7"/>
        <v>0</v>
      </c>
      <c r="BD54" s="76">
        <f t="shared" si="7"/>
        <v>35.71281255030317</v>
      </c>
      <c r="BE54" s="76">
        <f t="shared" si="7"/>
        <v>0</v>
      </c>
      <c r="BF54" s="76">
        <f t="shared" si="7"/>
        <v>242.86229702782268</v>
      </c>
      <c r="BG54" s="76">
        <f t="shared" si="7"/>
        <v>4.3000328447674177</v>
      </c>
    </row>
    <row r="55" spans="2:59" x14ac:dyDescent="0.2">
      <c r="C55" s="8">
        <v>370</v>
      </c>
      <c r="D55" s="8" t="s">
        <v>116</v>
      </c>
      <c r="E55" s="13">
        <f>'4.1 Comptes 2023 natures'!E55/'4.1 Comptes 2023 natures'!E3</f>
        <v>0</v>
      </c>
      <c r="F55" s="13">
        <f>'4.1 Comptes 2023 natures'!F55/'4.1 Comptes 2023 natures'!F3</f>
        <v>0</v>
      </c>
      <c r="G55" s="13">
        <f>'4.1 Comptes 2023 natures'!G55/'4.1 Comptes 2023 natures'!G3</f>
        <v>0</v>
      </c>
      <c r="H55" s="13">
        <f>'4.1 Comptes 2023 natures'!H55/'4.1 Comptes 2023 natures'!H3</f>
        <v>0</v>
      </c>
      <c r="I55" s="13">
        <f>'4.1 Comptes 2023 natures'!I55/'4.1 Comptes 2023 natures'!I3</f>
        <v>0</v>
      </c>
      <c r="J55" s="13">
        <f>'4.1 Comptes 2023 natures'!J55/'4.1 Comptes 2023 natures'!J3</f>
        <v>0</v>
      </c>
      <c r="K55" s="13">
        <f>'4.1 Comptes 2023 natures'!K55/'4.1 Comptes 2023 natures'!K3</f>
        <v>0</v>
      </c>
      <c r="L55" s="13">
        <f>'4.1 Comptes 2023 natures'!L55/'4.1 Comptes 2023 natures'!L3</f>
        <v>0</v>
      </c>
      <c r="M55" s="13">
        <f>'4.1 Comptes 2023 natures'!M55/'4.1 Comptes 2023 natures'!M3</f>
        <v>0</v>
      </c>
      <c r="N55" s="13">
        <f>'4.1 Comptes 2023 natures'!N55/'4.1 Comptes 2023 natures'!N3</f>
        <v>0</v>
      </c>
      <c r="O55" s="13">
        <f>'4.1 Comptes 2023 natures'!O55/'4.1 Comptes 2023 natures'!O3</f>
        <v>0</v>
      </c>
      <c r="P55" s="13">
        <f>'4.1 Comptes 2023 natures'!P55/'4.1 Comptes 2023 natures'!P3</f>
        <v>0</v>
      </c>
      <c r="Q55" s="13">
        <f>'4.1 Comptes 2023 natures'!Q55/'4.1 Comptes 2023 natures'!Q3</f>
        <v>0</v>
      </c>
      <c r="R55" s="13">
        <f>'4.1 Comptes 2023 natures'!R55/'4.1 Comptes 2023 natures'!R3</f>
        <v>0</v>
      </c>
      <c r="S55" s="13">
        <f>'4.1 Comptes 2023 natures'!S55/'4.1 Comptes 2023 natures'!S3</f>
        <v>0</v>
      </c>
      <c r="T55" s="13">
        <f>'4.1 Comptes 2023 natures'!T55/'4.1 Comptes 2023 natures'!T3</f>
        <v>0</v>
      </c>
      <c r="U55" s="13">
        <f>'4.1 Comptes 2023 natures'!U55/'4.1 Comptes 2023 natures'!U3</f>
        <v>0</v>
      </c>
      <c r="V55" s="13">
        <f>'4.1 Comptes 2023 natures'!V55/'4.1 Comptes 2023 natures'!V3</f>
        <v>0</v>
      </c>
      <c r="W55" s="13">
        <f>'4.1 Comptes 2023 natures'!W55/'4.1 Comptes 2023 natures'!W3</f>
        <v>0</v>
      </c>
      <c r="X55" s="13">
        <f>'4.1 Comptes 2023 natures'!X55/'4.1 Comptes 2023 natures'!X3</f>
        <v>1413.2285245901639</v>
      </c>
      <c r="Y55" s="13">
        <f>'4.1 Comptes 2023 natures'!Y55/'4.1 Comptes 2023 natures'!Y3</f>
        <v>0</v>
      </c>
      <c r="Z55" s="13">
        <f>'4.1 Comptes 2023 natures'!Z55/'4.1 Comptes 2023 natures'!Z3</f>
        <v>356.54652862362974</v>
      </c>
      <c r="AA55" s="13">
        <f>'4.1 Comptes 2023 natures'!AA55/'4.1 Comptes 2023 natures'!AA3</f>
        <v>1146.388255033557</v>
      </c>
      <c r="AB55" s="13">
        <f>'4.1 Comptes 2023 natures'!AB55/'4.1 Comptes 2023 natures'!AB3</f>
        <v>308.1913725490196</v>
      </c>
      <c r="AC55" s="13">
        <f>'4.1 Comptes 2023 natures'!AC55/'4.1 Comptes 2023 natures'!AC3</f>
        <v>0</v>
      </c>
      <c r="AD55" s="13">
        <f>'4.1 Comptes 2023 natures'!AD55/'4.1 Comptes 2023 natures'!AD3</f>
        <v>440.35512367491168</v>
      </c>
      <c r="AE55" s="13">
        <f>'4.1 Comptes 2023 natures'!AE55/'4.1 Comptes 2023 natures'!AE3</f>
        <v>1199.1114173228345</v>
      </c>
      <c r="AF55" s="13">
        <f>'4.1 Comptes 2023 natures'!AF55/'4.1 Comptes 2023 natures'!AF3</f>
        <v>179.79340827797651</v>
      </c>
      <c r="AG55" s="13">
        <f>'4.1 Comptes 2023 natures'!AG55/'4.1 Comptes 2023 natures'!AG3</f>
        <v>0</v>
      </c>
      <c r="AH55" s="13">
        <f>'4.1 Comptes 2023 natures'!AH55/'4.1 Comptes 2023 natures'!AH3</f>
        <v>11.98326359832636</v>
      </c>
      <c r="AI55" s="13">
        <f>'4.1 Comptes 2023 natures'!AI55/'4.1 Comptes 2023 natures'!AI3</f>
        <v>0</v>
      </c>
      <c r="AJ55" s="13">
        <f>'4.1 Comptes 2023 natures'!AJ55/'4.1 Comptes 2023 natures'!AJ3</f>
        <v>0</v>
      </c>
      <c r="AK55" s="13">
        <f>'4.1 Comptes 2023 natures'!AK55/'4.1 Comptes 2023 natures'!AK3</f>
        <v>0</v>
      </c>
      <c r="AL55" s="13">
        <f>'4.1 Comptes 2023 natures'!AL55/'4.1 Comptes 2023 natures'!AL3</f>
        <v>0</v>
      </c>
      <c r="AM55" s="13">
        <f>'4.1 Comptes 2023 natures'!AM55/'4.1 Comptes 2023 natures'!AM3</f>
        <v>0</v>
      </c>
      <c r="AN55" s="13">
        <f>'4.1 Comptes 2023 natures'!AN55/'4.1 Comptes 2023 natures'!AN3</f>
        <v>0</v>
      </c>
      <c r="AO55" s="13">
        <f>'4.1 Comptes 2023 natures'!AO55/'4.1 Comptes 2023 natures'!AO3</f>
        <v>2.2740458015267175</v>
      </c>
      <c r="AP55" s="13">
        <f>'4.1 Comptes 2023 natures'!AP55/'4.1 Comptes 2023 natures'!AP3</f>
        <v>0</v>
      </c>
      <c r="AQ55" s="13">
        <f>'4.1 Comptes 2023 natures'!AQ55/'4.1 Comptes 2023 natures'!AQ3</f>
        <v>39.554057187017001</v>
      </c>
      <c r="AR55" s="13">
        <f>'4.1 Comptes 2023 natures'!AR55/'4.1 Comptes 2023 natures'!AR3</f>
        <v>0</v>
      </c>
      <c r="AS55" s="13">
        <f>'4.1 Comptes 2023 natures'!AS55/'4.1 Comptes 2023 natures'!AS3</f>
        <v>0</v>
      </c>
      <c r="AT55" s="13">
        <f>'4.1 Comptes 2023 natures'!AT55/'4.1 Comptes 2023 natures'!AT3</f>
        <v>0</v>
      </c>
      <c r="AU55" s="13">
        <f>'4.1 Comptes 2023 natures'!AU55/'4.1 Comptes 2023 natures'!AU3</f>
        <v>17.286363636363635</v>
      </c>
      <c r="AV55" s="13">
        <f>'4.1 Comptes 2023 natures'!AV55/'4.1 Comptes 2023 natures'!AV3</f>
        <v>12.480620155038761</v>
      </c>
      <c r="AW55" s="13">
        <f>'4.1 Comptes 2023 natures'!AW55/'4.1 Comptes 2023 natures'!AW3</f>
        <v>0</v>
      </c>
      <c r="AX55" s="13">
        <f>'4.1 Comptes 2023 natures'!AX55/'4.1 Comptes 2023 natures'!AX3</f>
        <v>0</v>
      </c>
      <c r="AY55" s="13">
        <f>'4.1 Comptes 2023 natures'!AY55/'4.1 Comptes 2023 natures'!AY3</f>
        <v>0</v>
      </c>
      <c r="AZ55" s="13">
        <f>'4.1 Comptes 2023 natures'!AZ55/'4.1 Comptes 2023 natures'!AZ3</f>
        <v>0</v>
      </c>
      <c r="BA55" s="13">
        <f>'4.1 Comptes 2023 natures'!BA55/'4.1 Comptes 2023 natures'!BA3</f>
        <v>0</v>
      </c>
      <c r="BB55" s="13">
        <f>'4.1 Comptes 2023 natures'!BB55/'4.1 Comptes 2023 natures'!BB3</f>
        <v>0</v>
      </c>
      <c r="BC55" s="13">
        <f>'4.1 Comptes 2023 natures'!BC55/'4.1 Comptes 2023 natures'!BC3</f>
        <v>0</v>
      </c>
      <c r="BD55" s="13">
        <f>'4.1 Comptes 2023 natures'!BD55/'4.1 Comptes 2023 natures'!BD3</f>
        <v>35.71281255030317</v>
      </c>
      <c r="BE55" s="13">
        <f>'4.1 Comptes 2023 natures'!BE55/'4.1 Comptes 2023 natures'!BE3</f>
        <v>0</v>
      </c>
      <c r="BF55" s="13">
        <f>'4.1 Comptes 2023 natures'!BF55/'4.1 Comptes 2023 natures'!BF3</f>
        <v>242.86229702782268</v>
      </c>
      <c r="BG55" s="13">
        <f>'4.1 Comptes 2023 natures'!BG55/'4.1 Comptes 2023 natures'!BG3</f>
        <v>4.3000328447674177</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13.55411030176899</v>
      </c>
      <c r="F57" s="76">
        <f t="shared" ref="F57:BG57" si="8">F58+F59+F60+F61+F62+F63</f>
        <v>0</v>
      </c>
      <c r="G57" s="76">
        <f t="shared" si="8"/>
        <v>0</v>
      </c>
      <c r="H57" s="76">
        <f t="shared" si="8"/>
        <v>0.76629213483146064</v>
      </c>
      <c r="I57" s="76">
        <f t="shared" si="8"/>
        <v>40.908562857922007</v>
      </c>
      <c r="J57" s="76">
        <f t="shared" si="8"/>
        <v>56.466389870435805</v>
      </c>
      <c r="K57" s="76">
        <f t="shared" si="8"/>
        <v>330.39647577092512</v>
      </c>
      <c r="L57" s="76">
        <f t="shared" si="8"/>
        <v>0</v>
      </c>
      <c r="M57" s="76">
        <f t="shared" si="8"/>
        <v>0</v>
      </c>
      <c r="N57" s="76">
        <f t="shared" si="8"/>
        <v>0</v>
      </c>
      <c r="O57" s="76">
        <f t="shared" si="8"/>
        <v>0</v>
      </c>
      <c r="P57" s="76">
        <f t="shared" si="8"/>
        <v>0</v>
      </c>
      <c r="Q57" s="76">
        <f t="shared" si="8"/>
        <v>0</v>
      </c>
      <c r="R57" s="76">
        <f t="shared" si="8"/>
        <v>309.52380952380952</v>
      </c>
      <c r="S57" s="76">
        <f t="shared" si="8"/>
        <v>0</v>
      </c>
      <c r="T57" s="76">
        <f t="shared" si="8"/>
        <v>0</v>
      </c>
      <c r="U57" s="76">
        <f t="shared" si="8"/>
        <v>73.260073260073256</v>
      </c>
      <c r="V57" s="76">
        <f t="shared" si="8"/>
        <v>69.60556844547564</v>
      </c>
      <c r="W57" s="76">
        <f t="shared" si="8"/>
        <v>152.95197308045275</v>
      </c>
      <c r="X57" s="76">
        <f t="shared" si="8"/>
        <v>0</v>
      </c>
      <c r="Y57" s="76">
        <f t="shared" si="8"/>
        <v>0</v>
      </c>
      <c r="Z57" s="76">
        <f t="shared" si="8"/>
        <v>2069.1652375152253</v>
      </c>
      <c r="AA57" s="76">
        <f t="shared" si="8"/>
        <v>0</v>
      </c>
      <c r="AB57" s="76">
        <f t="shared" si="8"/>
        <v>0</v>
      </c>
      <c r="AC57" s="76">
        <f t="shared" si="8"/>
        <v>522.82446478873237</v>
      </c>
      <c r="AD57" s="76">
        <f t="shared" si="8"/>
        <v>0</v>
      </c>
      <c r="AE57" s="76">
        <f t="shared" si="8"/>
        <v>905.51181102362204</v>
      </c>
      <c r="AF57" s="76">
        <f t="shared" si="8"/>
        <v>0</v>
      </c>
      <c r="AG57" s="76">
        <f t="shared" si="8"/>
        <v>350.46728971962619</v>
      </c>
      <c r="AH57" s="76">
        <f t="shared" si="8"/>
        <v>0</v>
      </c>
      <c r="AI57" s="76">
        <f t="shared" si="8"/>
        <v>640</v>
      </c>
      <c r="AJ57" s="76">
        <f t="shared" si="8"/>
        <v>246.61809124278972</v>
      </c>
      <c r="AK57" s="76">
        <f t="shared" si="8"/>
        <v>638.20917107583773</v>
      </c>
      <c r="AL57" s="76">
        <f t="shared" si="8"/>
        <v>0</v>
      </c>
      <c r="AM57" s="76">
        <f t="shared" si="8"/>
        <v>140.09375</v>
      </c>
      <c r="AN57" s="76">
        <f t="shared" si="8"/>
        <v>1853.1169940222032</v>
      </c>
      <c r="AO57" s="76">
        <f t="shared" si="8"/>
        <v>0</v>
      </c>
      <c r="AP57" s="76">
        <f t="shared" si="8"/>
        <v>396.19651347068145</v>
      </c>
      <c r="AQ57" s="76">
        <f t="shared" si="8"/>
        <v>88.871715610510051</v>
      </c>
      <c r="AR57" s="76">
        <f t="shared" si="8"/>
        <v>0.30191400832177534</v>
      </c>
      <c r="AS57" s="76">
        <f t="shared" si="8"/>
        <v>0</v>
      </c>
      <c r="AT57" s="76">
        <f t="shared" si="8"/>
        <v>955.41401273885356</v>
      </c>
      <c r="AU57" s="76">
        <f t="shared" si="8"/>
        <v>0</v>
      </c>
      <c r="AV57" s="76">
        <f t="shared" si="8"/>
        <v>258.39793281653749</v>
      </c>
      <c r="AW57" s="76">
        <f t="shared" si="8"/>
        <v>0</v>
      </c>
      <c r="AX57" s="76">
        <f t="shared" si="8"/>
        <v>0</v>
      </c>
      <c r="AY57" s="76">
        <f t="shared" si="8"/>
        <v>151.79113539769278</v>
      </c>
      <c r="AZ57" s="76">
        <f t="shared" si="8"/>
        <v>0</v>
      </c>
      <c r="BA57" s="76">
        <f t="shared" si="8"/>
        <v>0</v>
      </c>
      <c r="BB57" s="76">
        <f t="shared" si="8"/>
        <v>0</v>
      </c>
      <c r="BC57" s="76">
        <f t="shared" si="8"/>
        <v>146.25228519195613</v>
      </c>
      <c r="BD57" s="76">
        <f t="shared" si="8"/>
        <v>157.19872873853086</v>
      </c>
      <c r="BE57" s="76">
        <f t="shared" si="8"/>
        <v>48.793193645990925</v>
      </c>
      <c r="BF57" s="76">
        <f t="shared" si="8"/>
        <v>494.61349254581705</v>
      </c>
      <c r="BG57" s="76">
        <f t="shared" si="8"/>
        <v>187.82847148663629</v>
      </c>
    </row>
    <row r="58" spans="2:59" x14ac:dyDescent="0.2">
      <c r="C58" s="8">
        <v>380</v>
      </c>
      <c r="D58" s="8" t="s">
        <v>118</v>
      </c>
      <c r="E58" s="13">
        <f>'4.1 Comptes 2023 natures'!E58/'4.1 Comptes 2023 natures'!E3</f>
        <v>0</v>
      </c>
      <c r="F58" s="13">
        <f>'4.1 Comptes 2023 natures'!F58/'4.1 Comptes 2023 natures'!F3</f>
        <v>0</v>
      </c>
      <c r="G58" s="13">
        <f>'4.1 Comptes 2023 natures'!G58/'4.1 Comptes 2023 natures'!G3</f>
        <v>0</v>
      </c>
      <c r="H58" s="13">
        <f>'4.1 Comptes 2023 natures'!H58/'4.1 Comptes 2023 natures'!H3</f>
        <v>0</v>
      </c>
      <c r="I58" s="13">
        <f>'4.1 Comptes 2023 natures'!I58/'4.1 Comptes 2023 natures'!I3</f>
        <v>0</v>
      </c>
      <c r="J58" s="13">
        <f>'4.1 Comptes 2023 natures'!J58/'4.1 Comptes 2023 natures'!J3</f>
        <v>0</v>
      </c>
      <c r="K58" s="13">
        <f>'4.1 Comptes 2023 natures'!K58/'4.1 Comptes 2023 natures'!K3</f>
        <v>0</v>
      </c>
      <c r="L58" s="13">
        <f>'4.1 Comptes 2023 natures'!L58/'4.1 Comptes 2023 natures'!L3</f>
        <v>0</v>
      </c>
      <c r="M58" s="13">
        <f>'4.1 Comptes 2023 natures'!M58/'4.1 Comptes 2023 natures'!M3</f>
        <v>0</v>
      </c>
      <c r="N58" s="13">
        <f>'4.1 Comptes 2023 natures'!N58/'4.1 Comptes 2023 natures'!N3</f>
        <v>0</v>
      </c>
      <c r="O58" s="13">
        <f>'4.1 Comptes 2023 natures'!O58/'4.1 Comptes 2023 natures'!O3</f>
        <v>0</v>
      </c>
      <c r="P58" s="13">
        <f>'4.1 Comptes 2023 natures'!P58/'4.1 Comptes 2023 natures'!P3</f>
        <v>0</v>
      </c>
      <c r="Q58" s="13">
        <f>'4.1 Comptes 2023 natures'!Q58/'4.1 Comptes 2023 natures'!Q3</f>
        <v>0</v>
      </c>
      <c r="R58" s="13">
        <f>'4.1 Comptes 2023 natures'!R58/'4.1 Comptes 2023 natures'!R3</f>
        <v>0</v>
      </c>
      <c r="S58" s="13">
        <f>'4.1 Comptes 2023 natures'!S58/'4.1 Comptes 2023 natures'!S3</f>
        <v>0</v>
      </c>
      <c r="T58" s="13">
        <f>'4.1 Comptes 2023 natures'!T58/'4.1 Comptes 2023 natures'!T3</f>
        <v>0</v>
      </c>
      <c r="U58" s="13">
        <f>'4.1 Comptes 2023 natures'!U58/'4.1 Comptes 2023 natures'!U3</f>
        <v>0</v>
      </c>
      <c r="V58" s="13">
        <f>'4.1 Comptes 2023 natures'!V58/'4.1 Comptes 2023 natures'!V3</f>
        <v>0</v>
      </c>
      <c r="W58" s="13">
        <f>'4.1 Comptes 2023 natures'!W58/'4.1 Comptes 2023 natures'!W3</f>
        <v>0</v>
      </c>
      <c r="X58" s="13">
        <f>'4.1 Comptes 2023 natures'!X58/'4.1 Comptes 2023 natures'!X3</f>
        <v>0</v>
      </c>
      <c r="Y58" s="13">
        <f>'4.1 Comptes 2023 natures'!Y58/'4.1 Comptes 2023 natures'!Y3</f>
        <v>0</v>
      </c>
      <c r="Z58" s="13">
        <f>'4.1 Comptes 2023 natures'!Z58/'4.1 Comptes 2023 natures'!Z3</f>
        <v>0</v>
      </c>
      <c r="AA58" s="13">
        <f>'4.1 Comptes 2023 natures'!AA58/'4.1 Comptes 2023 natures'!AA3</f>
        <v>0</v>
      </c>
      <c r="AB58" s="13">
        <f>'4.1 Comptes 2023 natures'!AB58/'4.1 Comptes 2023 natures'!AB3</f>
        <v>0</v>
      </c>
      <c r="AC58" s="13">
        <f>'4.1 Comptes 2023 natures'!AC58/'4.1 Comptes 2023 natures'!AC3</f>
        <v>0</v>
      </c>
      <c r="AD58" s="13">
        <f>'4.1 Comptes 2023 natures'!AD58/'4.1 Comptes 2023 natures'!AD3</f>
        <v>0</v>
      </c>
      <c r="AE58" s="13">
        <f>'4.1 Comptes 2023 natures'!AE58/'4.1 Comptes 2023 natures'!AE3</f>
        <v>0</v>
      </c>
      <c r="AF58" s="13">
        <f>'4.1 Comptes 2023 natures'!AF58/'4.1 Comptes 2023 natures'!AF3</f>
        <v>0</v>
      </c>
      <c r="AG58" s="13">
        <f>'4.1 Comptes 2023 natures'!AG58/'4.1 Comptes 2023 natures'!AG3</f>
        <v>0</v>
      </c>
      <c r="AH58" s="13">
        <f>'4.1 Comptes 2023 natures'!AH58/'4.1 Comptes 2023 natures'!AH3</f>
        <v>0</v>
      </c>
      <c r="AI58" s="13">
        <f>'4.1 Comptes 2023 natures'!AI58/'4.1 Comptes 2023 natures'!AI3</f>
        <v>0</v>
      </c>
      <c r="AJ58" s="13">
        <f>'4.1 Comptes 2023 natures'!AJ58/'4.1 Comptes 2023 natures'!AJ3</f>
        <v>0</v>
      </c>
      <c r="AK58" s="13">
        <f>'4.1 Comptes 2023 natures'!AK58/'4.1 Comptes 2023 natures'!AK3</f>
        <v>0</v>
      </c>
      <c r="AL58" s="13">
        <f>'4.1 Comptes 2023 natures'!AL58/'4.1 Comptes 2023 natures'!AL3</f>
        <v>0</v>
      </c>
      <c r="AM58" s="13">
        <f>'4.1 Comptes 2023 natures'!AM58/'4.1 Comptes 2023 natures'!AM3</f>
        <v>0</v>
      </c>
      <c r="AN58" s="13">
        <f>'4.1 Comptes 2023 natures'!AN58/'4.1 Comptes 2023 natures'!AN3</f>
        <v>0</v>
      </c>
      <c r="AO58" s="13">
        <f>'4.1 Comptes 2023 natures'!AO58/'4.1 Comptes 2023 natures'!AO3</f>
        <v>0</v>
      </c>
      <c r="AP58" s="13">
        <f>'4.1 Comptes 2023 natures'!AP58/'4.1 Comptes 2023 natures'!AP3</f>
        <v>0</v>
      </c>
      <c r="AQ58" s="13">
        <f>'4.1 Comptes 2023 natures'!AQ58/'4.1 Comptes 2023 natures'!AQ3</f>
        <v>0</v>
      </c>
      <c r="AR58" s="13">
        <f>'4.1 Comptes 2023 natures'!AR58/'4.1 Comptes 2023 natures'!AR3</f>
        <v>0</v>
      </c>
      <c r="AS58" s="13">
        <f>'4.1 Comptes 2023 natures'!AS58/'4.1 Comptes 2023 natures'!AS3</f>
        <v>0</v>
      </c>
      <c r="AT58" s="13">
        <f>'4.1 Comptes 2023 natures'!AT58/'4.1 Comptes 2023 natures'!AT3</f>
        <v>0</v>
      </c>
      <c r="AU58" s="13">
        <f>'4.1 Comptes 2023 natures'!AU58/'4.1 Comptes 2023 natures'!AU3</f>
        <v>0</v>
      </c>
      <c r="AV58" s="13">
        <f>'4.1 Comptes 2023 natures'!AV58/'4.1 Comptes 2023 natures'!AV3</f>
        <v>0</v>
      </c>
      <c r="AW58" s="13">
        <f>'4.1 Comptes 2023 natures'!AW58/'4.1 Comptes 2023 natures'!AW3</f>
        <v>0</v>
      </c>
      <c r="AX58" s="13">
        <f>'4.1 Comptes 2023 natures'!AX58/'4.1 Comptes 2023 natures'!AX3</f>
        <v>0</v>
      </c>
      <c r="AY58" s="13">
        <f>'4.1 Comptes 2023 natures'!AY58/'4.1 Comptes 2023 natures'!AY3</f>
        <v>0</v>
      </c>
      <c r="AZ58" s="13">
        <f>'4.1 Comptes 2023 natures'!AZ58/'4.1 Comptes 2023 natures'!AZ3</f>
        <v>0</v>
      </c>
      <c r="BA58" s="13">
        <f>'4.1 Comptes 2023 natures'!BA58/'4.1 Comptes 2023 natures'!BA3</f>
        <v>0</v>
      </c>
      <c r="BB58" s="13">
        <f>'4.1 Comptes 2023 natures'!BB58/'4.1 Comptes 2023 natures'!BB3</f>
        <v>0</v>
      </c>
      <c r="BC58" s="13">
        <f>'4.1 Comptes 2023 natures'!BC58/'4.1 Comptes 2023 natures'!BC3</f>
        <v>0</v>
      </c>
      <c r="BD58" s="13">
        <f>'4.1 Comptes 2023 natures'!BD58/'4.1 Comptes 2023 natures'!BD3</f>
        <v>0</v>
      </c>
      <c r="BE58" s="13">
        <f>'4.1 Comptes 2023 natures'!BE58/'4.1 Comptes 2023 natures'!BE3</f>
        <v>0</v>
      </c>
      <c r="BF58" s="13">
        <f>'4.1 Comptes 2023 natures'!BF58/'4.1 Comptes 2023 natures'!BF3</f>
        <v>0</v>
      </c>
      <c r="BG58" s="13">
        <f>'4.1 Comptes 2023 natures'!BG58/'4.1 Comptes 2023 natures'!BG3</f>
        <v>0</v>
      </c>
    </row>
    <row r="59" spans="2:59" x14ac:dyDescent="0.2">
      <c r="C59" s="8">
        <v>381</v>
      </c>
      <c r="D59" s="8" t="s">
        <v>119</v>
      </c>
      <c r="E59" s="13">
        <f>'4.1 Comptes 2023 natures'!E59/'4.1 Comptes 2023 natures'!E3</f>
        <v>0</v>
      </c>
      <c r="F59" s="13">
        <f>'4.1 Comptes 2023 natures'!F59/'4.1 Comptes 2023 natures'!F3</f>
        <v>0</v>
      </c>
      <c r="G59" s="13">
        <f>'4.1 Comptes 2023 natures'!G59/'4.1 Comptes 2023 natures'!G3</f>
        <v>0</v>
      </c>
      <c r="H59" s="13">
        <f>'4.1 Comptes 2023 natures'!H59/'4.1 Comptes 2023 natures'!H3</f>
        <v>0.76629213483146064</v>
      </c>
      <c r="I59" s="13">
        <f>'4.1 Comptes 2023 natures'!I59/'4.1 Comptes 2023 natures'!I3</f>
        <v>0</v>
      </c>
      <c r="J59" s="13">
        <f>'4.1 Comptes 2023 natures'!J59/'4.1 Comptes 2023 natures'!J3</f>
        <v>0.4122497055359246</v>
      </c>
      <c r="K59" s="13">
        <f>'4.1 Comptes 2023 natures'!K59/'4.1 Comptes 2023 natures'!K3</f>
        <v>0</v>
      </c>
      <c r="L59" s="13">
        <f>'4.1 Comptes 2023 natures'!L59/'4.1 Comptes 2023 natures'!L3</f>
        <v>0</v>
      </c>
      <c r="M59" s="13">
        <f>'4.1 Comptes 2023 natures'!M59/'4.1 Comptes 2023 natures'!M3</f>
        <v>0</v>
      </c>
      <c r="N59" s="13">
        <f>'4.1 Comptes 2023 natures'!N59/'4.1 Comptes 2023 natures'!N3</f>
        <v>0</v>
      </c>
      <c r="O59" s="13">
        <f>'4.1 Comptes 2023 natures'!O59/'4.1 Comptes 2023 natures'!O3</f>
        <v>0</v>
      </c>
      <c r="P59" s="13">
        <f>'4.1 Comptes 2023 natures'!P59/'4.1 Comptes 2023 natures'!P3</f>
        <v>0</v>
      </c>
      <c r="Q59" s="13">
        <f>'4.1 Comptes 2023 natures'!Q59/'4.1 Comptes 2023 natures'!Q3</f>
        <v>0</v>
      </c>
      <c r="R59" s="13">
        <f>'4.1 Comptes 2023 natures'!R59/'4.1 Comptes 2023 natures'!R3</f>
        <v>0</v>
      </c>
      <c r="S59" s="13">
        <f>'4.1 Comptes 2023 natures'!S59/'4.1 Comptes 2023 natures'!S3</f>
        <v>0</v>
      </c>
      <c r="T59" s="13">
        <f>'4.1 Comptes 2023 natures'!T59/'4.1 Comptes 2023 natures'!T3</f>
        <v>0</v>
      </c>
      <c r="U59" s="13">
        <f>'4.1 Comptes 2023 natures'!U59/'4.1 Comptes 2023 natures'!U3</f>
        <v>0</v>
      </c>
      <c r="V59" s="13">
        <f>'4.1 Comptes 2023 natures'!V59/'4.1 Comptes 2023 natures'!V3</f>
        <v>0</v>
      </c>
      <c r="W59" s="13">
        <f>'4.1 Comptes 2023 natures'!W59/'4.1 Comptes 2023 natures'!W3</f>
        <v>0</v>
      </c>
      <c r="X59" s="13">
        <f>'4.1 Comptes 2023 natures'!X59/'4.1 Comptes 2023 natures'!X3</f>
        <v>0</v>
      </c>
      <c r="Y59" s="13">
        <f>'4.1 Comptes 2023 natures'!Y59/'4.1 Comptes 2023 natures'!Y3</f>
        <v>0</v>
      </c>
      <c r="Z59" s="13">
        <f>'4.1 Comptes 2023 natures'!Z59/'4.1 Comptes 2023 natures'!Z3</f>
        <v>0</v>
      </c>
      <c r="AA59" s="13">
        <f>'4.1 Comptes 2023 natures'!AA59/'4.1 Comptes 2023 natures'!AA3</f>
        <v>0</v>
      </c>
      <c r="AB59" s="13">
        <f>'4.1 Comptes 2023 natures'!AB59/'4.1 Comptes 2023 natures'!AB3</f>
        <v>0</v>
      </c>
      <c r="AC59" s="13">
        <f>'4.1 Comptes 2023 natures'!AC59/'4.1 Comptes 2023 natures'!AC3</f>
        <v>0</v>
      </c>
      <c r="AD59" s="13">
        <f>'4.1 Comptes 2023 natures'!AD59/'4.1 Comptes 2023 natures'!AD3</f>
        <v>0</v>
      </c>
      <c r="AE59" s="13">
        <f>'4.1 Comptes 2023 natures'!AE59/'4.1 Comptes 2023 natures'!AE3</f>
        <v>0</v>
      </c>
      <c r="AF59" s="13">
        <f>'4.1 Comptes 2023 natures'!AF59/'4.1 Comptes 2023 natures'!AF3</f>
        <v>0</v>
      </c>
      <c r="AG59" s="13">
        <f>'4.1 Comptes 2023 natures'!AG59/'4.1 Comptes 2023 natures'!AG3</f>
        <v>0</v>
      </c>
      <c r="AH59" s="13">
        <f>'4.1 Comptes 2023 natures'!AH59/'4.1 Comptes 2023 natures'!AH3</f>
        <v>0</v>
      </c>
      <c r="AI59" s="13">
        <f>'4.1 Comptes 2023 natures'!AI59/'4.1 Comptes 2023 natures'!AI3</f>
        <v>0</v>
      </c>
      <c r="AJ59" s="13">
        <f>'4.1 Comptes 2023 natures'!AJ59/'4.1 Comptes 2023 natures'!AJ3</f>
        <v>0</v>
      </c>
      <c r="AK59" s="13">
        <f>'4.1 Comptes 2023 natures'!AK59/'4.1 Comptes 2023 natures'!AK3</f>
        <v>0</v>
      </c>
      <c r="AL59" s="13">
        <f>'4.1 Comptes 2023 natures'!AL59/'4.1 Comptes 2023 natures'!AL3</f>
        <v>0</v>
      </c>
      <c r="AM59" s="13">
        <f>'4.1 Comptes 2023 natures'!AM59/'4.1 Comptes 2023 natures'!AM3</f>
        <v>0</v>
      </c>
      <c r="AN59" s="13">
        <f>'4.1 Comptes 2023 natures'!AN59/'4.1 Comptes 2023 natures'!AN3</f>
        <v>0</v>
      </c>
      <c r="AO59" s="13">
        <f>'4.1 Comptes 2023 natures'!AO59/'4.1 Comptes 2023 natures'!AO3</f>
        <v>0</v>
      </c>
      <c r="AP59" s="13">
        <f>'4.1 Comptes 2023 natures'!AP59/'4.1 Comptes 2023 natures'!AP3</f>
        <v>0</v>
      </c>
      <c r="AQ59" s="13">
        <f>'4.1 Comptes 2023 natures'!AQ59/'4.1 Comptes 2023 natures'!AQ3</f>
        <v>0</v>
      </c>
      <c r="AR59" s="13">
        <f>'4.1 Comptes 2023 natures'!AR59/'4.1 Comptes 2023 natures'!AR3</f>
        <v>0</v>
      </c>
      <c r="AS59" s="13">
        <f>'4.1 Comptes 2023 natures'!AS59/'4.1 Comptes 2023 natures'!AS3</f>
        <v>0</v>
      </c>
      <c r="AT59" s="13">
        <f>'4.1 Comptes 2023 natures'!AT59/'4.1 Comptes 2023 natures'!AT3</f>
        <v>0</v>
      </c>
      <c r="AU59" s="13">
        <f>'4.1 Comptes 2023 natures'!AU59/'4.1 Comptes 2023 natures'!AU3</f>
        <v>0</v>
      </c>
      <c r="AV59" s="13">
        <f>'4.1 Comptes 2023 natures'!AV59/'4.1 Comptes 2023 natures'!AV3</f>
        <v>0</v>
      </c>
      <c r="AW59" s="13">
        <f>'4.1 Comptes 2023 natures'!AW59/'4.1 Comptes 2023 natures'!AW3</f>
        <v>0</v>
      </c>
      <c r="AX59" s="13">
        <f>'4.1 Comptes 2023 natures'!AX59/'4.1 Comptes 2023 natures'!AX3</f>
        <v>0</v>
      </c>
      <c r="AY59" s="13">
        <f>'4.1 Comptes 2023 natures'!AY59/'4.1 Comptes 2023 natures'!AY3</f>
        <v>0</v>
      </c>
      <c r="AZ59" s="13">
        <f>'4.1 Comptes 2023 natures'!AZ59/'4.1 Comptes 2023 natures'!AZ3</f>
        <v>0</v>
      </c>
      <c r="BA59" s="13">
        <f>'4.1 Comptes 2023 natures'!BA59/'4.1 Comptes 2023 natures'!BA3</f>
        <v>0</v>
      </c>
      <c r="BB59" s="13">
        <f>'4.1 Comptes 2023 natures'!BB59/'4.1 Comptes 2023 natures'!BB3</f>
        <v>0</v>
      </c>
      <c r="BC59" s="13">
        <f>'4.1 Comptes 2023 natures'!BC59/'4.1 Comptes 2023 natures'!BC3</f>
        <v>0</v>
      </c>
      <c r="BD59" s="13">
        <f>'4.1 Comptes 2023 natures'!BD59/'4.1 Comptes 2023 natures'!BD3</f>
        <v>2.3354080592370017E-2</v>
      </c>
      <c r="BE59" s="13">
        <f>'4.1 Comptes 2023 natures'!BE59/'4.1 Comptes 2023 natures'!BE3</f>
        <v>4.3898134140191628E-2</v>
      </c>
      <c r="BF59" s="13">
        <f>'4.1 Comptes 2023 natures'!BF59/'4.1 Comptes 2023 natures'!BF3</f>
        <v>0</v>
      </c>
      <c r="BG59" s="13">
        <f>'4.1 Comptes 2023 natures'!BG59/'4.1 Comptes 2023 natures'!BG3</f>
        <v>0</v>
      </c>
    </row>
    <row r="60" spans="2:59" x14ac:dyDescent="0.2">
      <c r="C60" s="8">
        <v>384</v>
      </c>
      <c r="D60" s="8" t="s">
        <v>120</v>
      </c>
      <c r="E60" s="13">
        <f>'4.1 Comptes 2023 natures'!E60/'4.1 Comptes 2023 natures'!E3</f>
        <v>13.55411030176899</v>
      </c>
      <c r="F60" s="13">
        <f>'4.1 Comptes 2023 natures'!F60/'4.1 Comptes 2023 natures'!F3</f>
        <v>0</v>
      </c>
      <c r="G60" s="13">
        <f>'4.1 Comptes 2023 natures'!G60/'4.1 Comptes 2023 natures'!G3</f>
        <v>0</v>
      </c>
      <c r="H60" s="13">
        <f>'4.1 Comptes 2023 natures'!H60/'4.1 Comptes 2023 natures'!H3</f>
        <v>0</v>
      </c>
      <c r="I60" s="13">
        <f>'4.1 Comptes 2023 natures'!I60/'4.1 Comptes 2023 natures'!I3</f>
        <v>3.1906190346332151E-3</v>
      </c>
      <c r="J60" s="13">
        <f>'4.1 Comptes 2023 natures'!J60/'4.1 Comptes 2023 natures'!J3</f>
        <v>0</v>
      </c>
      <c r="K60" s="13">
        <f>'4.1 Comptes 2023 natures'!K60/'4.1 Comptes 2023 natures'!K3</f>
        <v>0</v>
      </c>
      <c r="L60" s="13">
        <f>'4.1 Comptes 2023 natures'!L60/'4.1 Comptes 2023 natures'!L3</f>
        <v>0</v>
      </c>
      <c r="M60" s="13">
        <f>'4.1 Comptes 2023 natures'!M60/'4.1 Comptes 2023 natures'!M3</f>
        <v>0</v>
      </c>
      <c r="N60" s="13">
        <f>'4.1 Comptes 2023 natures'!N60/'4.1 Comptes 2023 natures'!N3</f>
        <v>0</v>
      </c>
      <c r="O60" s="13">
        <f>'4.1 Comptes 2023 natures'!O60/'4.1 Comptes 2023 natures'!O3</f>
        <v>0</v>
      </c>
      <c r="P60" s="13">
        <f>'4.1 Comptes 2023 natures'!P60/'4.1 Comptes 2023 natures'!P3</f>
        <v>0</v>
      </c>
      <c r="Q60" s="13">
        <f>'4.1 Comptes 2023 natures'!Q60/'4.1 Comptes 2023 natures'!Q3</f>
        <v>0</v>
      </c>
      <c r="R60" s="13">
        <f>'4.1 Comptes 2023 natures'!R60/'4.1 Comptes 2023 natures'!R3</f>
        <v>0</v>
      </c>
      <c r="S60" s="13">
        <f>'4.1 Comptes 2023 natures'!S60/'4.1 Comptes 2023 natures'!S3</f>
        <v>0</v>
      </c>
      <c r="T60" s="13">
        <f>'4.1 Comptes 2023 natures'!T60/'4.1 Comptes 2023 natures'!T3</f>
        <v>0</v>
      </c>
      <c r="U60" s="13">
        <f>'4.1 Comptes 2023 natures'!U60/'4.1 Comptes 2023 natures'!U3</f>
        <v>0</v>
      </c>
      <c r="V60" s="13">
        <f>'4.1 Comptes 2023 natures'!V60/'4.1 Comptes 2023 natures'!V3</f>
        <v>0</v>
      </c>
      <c r="W60" s="13">
        <f>'4.1 Comptes 2023 natures'!W60/'4.1 Comptes 2023 natures'!W3</f>
        <v>0</v>
      </c>
      <c r="X60" s="13">
        <f>'4.1 Comptes 2023 natures'!X60/'4.1 Comptes 2023 natures'!X3</f>
        <v>0</v>
      </c>
      <c r="Y60" s="13">
        <f>'4.1 Comptes 2023 natures'!Y60/'4.1 Comptes 2023 natures'!Y3</f>
        <v>0</v>
      </c>
      <c r="Z60" s="13">
        <f>'4.1 Comptes 2023 natures'!Z60/'4.1 Comptes 2023 natures'!Z3</f>
        <v>0</v>
      </c>
      <c r="AA60" s="13">
        <f>'4.1 Comptes 2023 natures'!AA60/'4.1 Comptes 2023 natures'!AA3</f>
        <v>0</v>
      </c>
      <c r="AB60" s="13">
        <f>'4.1 Comptes 2023 natures'!AB60/'4.1 Comptes 2023 natures'!AB3</f>
        <v>0</v>
      </c>
      <c r="AC60" s="13">
        <f>'4.1 Comptes 2023 natures'!AC60/'4.1 Comptes 2023 natures'!AC3</f>
        <v>0</v>
      </c>
      <c r="AD60" s="13">
        <f>'4.1 Comptes 2023 natures'!AD60/'4.1 Comptes 2023 natures'!AD3</f>
        <v>0</v>
      </c>
      <c r="AE60" s="13">
        <f>'4.1 Comptes 2023 natures'!AE60/'4.1 Comptes 2023 natures'!AE3</f>
        <v>0</v>
      </c>
      <c r="AF60" s="13">
        <f>'4.1 Comptes 2023 natures'!AF60/'4.1 Comptes 2023 natures'!AF3</f>
        <v>0</v>
      </c>
      <c r="AG60" s="13">
        <f>'4.1 Comptes 2023 natures'!AG60/'4.1 Comptes 2023 natures'!AG3</f>
        <v>0</v>
      </c>
      <c r="AH60" s="13">
        <f>'4.1 Comptes 2023 natures'!AH60/'4.1 Comptes 2023 natures'!AH3</f>
        <v>0</v>
      </c>
      <c r="AI60" s="13">
        <f>'4.1 Comptes 2023 natures'!AI60/'4.1 Comptes 2023 natures'!AI3</f>
        <v>0</v>
      </c>
      <c r="AJ60" s="13">
        <f>'4.1 Comptes 2023 natures'!AJ60/'4.1 Comptes 2023 natures'!AJ3</f>
        <v>0</v>
      </c>
      <c r="AK60" s="13">
        <f>'4.1 Comptes 2023 natures'!AK60/'4.1 Comptes 2023 natures'!AK3</f>
        <v>0</v>
      </c>
      <c r="AL60" s="13">
        <f>'4.1 Comptes 2023 natures'!AL60/'4.1 Comptes 2023 natures'!AL3</f>
        <v>0</v>
      </c>
      <c r="AM60" s="13">
        <f>'4.1 Comptes 2023 natures'!AM60/'4.1 Comptes 2023 natures'!AM3</f>
        <v>0</v>
      </c>
      <c r="AN60" s="13">
        <f>'4.1 Comptes 2023 natures'!AN60/'4.1 Comptes 2023 natures'!AN3</f>
        <v>0</v>
      </c>
      <c r="AO60" s="13">
        <f>'4.1 Comptes 2023 natures'!AO60/'4.1 Comptes 2023 natures'!AO3</f>
        <v>0</v>
      </c>
      <c r="AP60" s="13">
        <f>'4.1 Comptes 2023 natures'!AP60/'4.1 Comptes 2023 natures'!AP3</f>
        <v>0</v>
      </c>
      <c r="AQ60" s="13">
        <f>'4.1 Comptes 2023 natures'!AQ60/'4.1 Comptes 2023 natures'!AQ3</f>
        <v>0</v>
      </c>
      <c r="AR60" s="13">
        <f>'4.1 Comptes 2023 natures'!AR60/'4.1 Comptes 2023 natures'!AR3</f>
        <v>0</v>
      </c>
      <c r="AS60" s="13">
        <f>'4.1 Comptes 2023 natures'!AS60/'4.1 Comptes 2023 natures'!AS3</f>
        <v>0</v>
      </c>
      <c r="AT60" s="13">
        <f>'4.1 Comptes 2023 natures'!AT60/'4.1 Comptes 2023 natures'!AT3</f>
        <v>0</v>
      </c>
      <c r="AU60" s="13">
        <f>'4.1 Comptes 2023 natures'!AU60/'4.1 Comptes 2023 natures'!AU3</f>
        <v>0</v>
      </c>
      <c r="AV60" s="13">
        <f>'4.1 Comptes 2023 natures'!AV60/'4.1 Comptes 2023 natures'!AV3</f>
        <v>0</v>
      </c>
      <c r="AW60" s="13">
        <f>'4.1 Comptes 2023 natures'!AW60/'4.1 Comptes 2023 natures'!AW3</f>
        <v>0</v>
      </c>
      <c r="AX60" s="13">
        <f>'4.1 Comptes 2023 natures'!AX60/'4.1 Comptes 2023 natures'!AX3</f>
        <v>0</v>
      </c>
      <c r="AY60" s="13">
        <f>'4.1 Comptes 2023 natures'!AY60/'4.1 Comptes 2023 natures'!AY3</f>
        <v>0</v>
      </c>
      <c r="AZ60" s="13">
        <f>'4.1 Comptes 2023 natures'!AZ60/'4.1 Comptes 2023 natures'!AZ3</f>
        <v>0</v>
      </c>
      <c r="BA60" s="13">
        <f>'4.1 Comptes 2023 natures'!BA60/'4.1 Comptes 2023 natures'!BA3</f>
        <v>0</v>
      </c>
      <c r="BB60" s="13">
        <f>'4.1 Comptes 2023 natures'!BB60/'4.1 Comptes 2023 natures'!BB3</f>
        <v>0</v>
      </c>
      <c r="BC60" s="13">
        <f>'4.1 Comptes 2023 natures'!BC60/'4.1 Comptes 2023 natures'!BC3</f>
        <v>0</v>
      </c>
      <c r="BD60" s="13">
        <f>'4.1 Comptes 2023 natures'!BD60/'4.1 Comptes 2023 natures'!BD3</f>
        <v>0.17488329666791866</v>
      </c>
      <c r="BE60" s="13">
        <f>'4.1 Comptes 2023 natures'!BE60/'4.1 Comptes 2023 natures'!BE3</f>
        <v>0.32872415532022192</v>
      </c>
      <c r="BF60" s="13">
        <f>'4.1 Comptes 2023 natures'!BF60/'4.1 Comptes 2023 natures'!BF3</f>
        <v>0</v>
      </c>
      <c r="BG60" s="13">
        <f>'4.1 Comptes 2023 natures'!BG60/'4.1 Comptes 2023 natures'!BG3</f>
        <v>0</v>
      </c>
    </row>
    <row r="61" spans="2:59" x14ac:dyDescent="0.2">
      <c r="C61" s="8">
        <v>385</v>
      </c>
      <c r="D61" s="8" t="s">
        <v>121</v>
      </c>
      <c r="E61" s="13">
        <f>'4.1 Comptes 2023 natures'!E61/'4.1 Comptes 2023 natures'!E3</f>
        <v>0</v>
      </c>
      <c r="F61" s="13">
        <f>'4.1 Comptes 2023 natures'!F61/'4.1 Comptes 2023 natures'!F3</f>
        <v>0</v>
      </c>
      <c r="G61" s="13">
        <f>'4.1 Comptes 2023 natures'!G61/'4.1 Comptes 2023 natures'!G3</f>
        <v>0</v>
      </c>
      <c r="H61" s="13">
        <f>'4.1 Comptes 2023 natures'!H61/'4.1 Comptes 2023 natures'!H3</f>
        <v>0</v>
      </c>
      <c r="I61" s="13">
        <f>'4.1 Comptes 2023 natures'!I61/'4.1 Comptes 2023 natures'!I3</f>
        <v>0</v>
      </c>
      <c r="J61" s="13">
        <f>'4.1 Comptes 2023 natures'!J61/'4.1 Comptes 2023 natures'!J3</f>
        <v>0</v>
      </c>
      <c r="K61" s="13">
        <f>'4.1 Comptes 2023 natures'!K61/'4.1 Comptes 2023 natures'!K3</f>
        <v>0</v>
      </c>
      <c r="L61" s="13">
        <f>'4.1 Comptes 2023 natures'!L61/'4.1 Comptes 2023 natures'!L3</f>
        <v>0</v>
      </c>
      <c r="M61" s="13">
        <f>'4.1 Comptes 2023 natures'!M61/'4.1 Comptes 2023 natures'!M3</f>
        <v>0</v>
      </c>
      <c r="N61" s="13">
        <f>'4.1 Comptes 2023 natures'!N61/'4.1 Comptes 2023 natures'!N3</f>
        <v>0</v>
      </c>
      <c r="O61" s="13">
        <f>'4.1 Comptes 2023 natures'!O61/'4.1 Comptes 2023 natures'!O3</f>
        <v>0</v>
      </c>
      <c r="P61" s="13">
        <f>'4.1 Comptes 2023 natures'!P61/'4.1 Comptes 2023 natures'!P3</f>
        <v>0</v>
      </c>
      <c r="Q61" s="13">
        <f>'4.1 Comptes 2023 natures'!Q61/'4.1 Comptes 2023 natures'!Q3</f>
        <v>0</v>
      </c>
      <c r="R61" s="13">
        <f>'4.1 Comptes 2023 natures'!R61/'4.1 Comptes 2023 natures'!R3</f>
        <v>0</v>
      </c>
      <c r="S61" s="13">
        <f>'4.1 Comptes 2023 natures'!S61/'4.1 Comptes 2023 natures'!S3</f>
        <v>0</v>
      </c>
      <c r="T61" s="13">
        <f>'4.1 Comptes 2023 natures'!T61/'4.1 Comptes 2023 natures'!T3</f>
        <v>0</v>
      </c>
      <c r="U61" s="13">
        <f>'4.1 Comptes 2023 natures'!U61/'4.1 Comptes 2023 natures'!U3</f>
        <v>0</v>
      </c>
      <c r="V61" s="13">
        <f>'4.1 Comptes 2023 natures'!V61/'4.1 Comptes 2023 natures'!V3</f>
        <v>0</v>
      </c>
      <c r="W61" s="13">
        <f>'4.1 Comptes 2023 natures'!W61/'4.1 Comptes 2023 natures'!W3</f>
        <v>0</v>
      </c>
      <c r="X61" s="13">
        <f>'4.1 Comptes 2023 natures'!X61/'4.1 Comptes 2023 natures'!X3</f>
        <v>0</v>
      </c>
      <c r="Y61" s="13">
        <f>'4.1 Comptes 2023 natures'!Y61/'4.1 Comptes 2023 natures'!Y3</f>
        <v>0</v>
      </c>
      <c r="Z61" s="13">
        <f>'4.1 Comptes 2023 natures'!Z61/'4.1 Comptes 2023 natures'!Z3</f>
        <v>0</v>
      </c>
      <c r="AA61" s="13">
        <f>'4.1 Comptes 2023 natures'!AA61/'4.1 Comptes 2023 natures'!AA3</f>
        <v>0</v>
      </c>
      <c r="AB61" s="13">
        <f>'4.1 Comptes 2023 natures'!AB61/'4.1 Comptes 2023 natures'!AB3</f>
        <v>0</v>
      </c>
      <c r="AC61" s="13">
        <f>'4.1 Comptes 2023 natures'!AC61/'4.1 Comptes 2023 natures'!AC3</f>
        <v>0</v>
      </c>
      <c r="AD61" s="13">
        <f>'4.1 Comptes 2023 natures'!AD61/'4.1 Comptes 2023 natures'!AD3</f>
        <v>0</v>
      </c>
      <c r="AE61" s="13">
        <f>'4.1 Comptes 2023 natures'!AE61/'4.1 Comptes 2023 natures'!AE3</f>
        <v>0</v>
      </c>
      <c r="AF61" s="13">
        <f>'4.1 Comptes 2023 natures'!AF61/'4.1 Comptes 2023 natures'!AF3</f>
        <v>0</v>
      </c>
      <c r="AG61" s="13">
        <f>'4.1 Comptes 2023 natures'!AG61/'4.1 Comptes 2023 natures'!AG3</f>
        <v>0</v>
      </c>
      <c r="AH61" s="13">
        <f>'4.1 Comptes 2023 natures'!AH61/'4.1 Comptes 2023 natures'!AH3</f>
        <v>0</v>
      </c>
      <c r="AI61" s="13">
        <f>'4.1 Comptes 2023 natures'!AI61/'4.1 Comptes 2023 natures'!AI3</f>
        <v>0</v>
      </c>
      <c r="AJ61" s="13">
        <f>'4.1 Comptes 2023 natures'!AJ61/'4.1 Comptes 2023 natures'!AJ3</f>
        <v>0</v>
      </c>
      <c r="AK61" s="13">
        <f>'4.1 Comptes 2023 natures'!AK61/'4.1 Comptes 2023 natures'!AK3</f>
        <v>0</v>
      </c>
      <c r="AL61" s="13">
        <f>'4.1 Comptes 2023 natures'!AL61/'4.1 Comptes 2023 natures'!AL3</f>
        <v>0</v>
      </c>
      <c r="AM61" s="13">
        <f>'4.1 Comptes 2023 natures'!AM61/'4.1 Comptes 2023 natures'!AM3</f>
        <v>0</v>
      </c>
      <c r="AN61" s="13">
        <f>'4.1 Comptes 2023 natures'!AN61/'4.1 Comptes 2023 natures'!AN3</f>
        <v>0</v>
      </c>
      <c r="AO61" s="13">
        <f>'4.1 Comptes 2023 natures'!AO61/'4.1 Comptes 2023 natures'!AO3</f>
        <v>0</v>
      </c>
      <c r="AP61" s="13">
        <f>'4.1 Comptes 2023 natures'!AP61/'4.1 Comptes 2023 natures'!AP3</f>
        <v>0</v>
      </c>
      <c r="AQ61" s="13">
        <f>'4.1 Comptes 2023 natures'!AQ61/'4.1 Comptes 2023 natures'!AQ3</f>
        <v>0</v>
      </c>
      <c r="AR61" s="13">
        <f>'4.1 Comptes 2023 natures'!AR61/'4.1 Comptes 2023 natures'!AR3</f>
        <v>0</v>
      </c>
      <c r="AS61" s="13">
        <f>'4.1 Comptes 2023 natures'!AS61/'4.1 Comptes 2023 natures'!AS3</f>
        <v>0</v>
      </c>
      <c r="AT61" s="13">
        <f>'4.1 Comptes 2023 natures'!AT61/'4.1 Comptes 2023 natures'!AT3</f>
        <v>0</v>
      </c>
      <c r="AU61" s="13">
        <f>'4.1 Comptes 2023 natures'!AU61/'4.1 Comptes 2023 natures'!AU3</f>
        <v>0</v>
      </c>
      <c r="AV61" s="13">
        <f>'4.1 Comptes 2023 natures'!AV61/'4.1 Comptes 2023 natures'!AV3</f>
        <v>0</v>
      </c>
      <c r="AW61" s="13">
        <f>'4.1 Comptes 2023 natures'!AW61/'4.1 Comptes 2023 natures'!AW3</f>
        <v>0</v>
      </c>
      <c r="AX61" s="13">
        <f>'4.1 Comptes 2023 natures'!AX61/'4.1 Comptes 2023 natures'!AX3</f>
        <v>0</v>
      </c>
      <c r="AY61" s="13">
        <f>'4.1 Comptes 2023 natures'!AY61/'4.1 Comptes 2023 natures'!AY3</f>
        <v>0</v>
      </c>
      <c r="AZ61" s="13">
        <f>'4.1 Comptes 2023 natures'!AZ61/'4.1 Comptes 2023 natures'!AZ3</f>
        <v>0</v>
      </c>
      <c r="BA61" s="13">
        <f>'4.1 Comptes 2023 natures'!BA61/'4.1 Comptes 2023 natures'!BA3</f>
        <v>0</v>
      </c>
      <c r="BB61" s="13">
        <f>'4.1 Comptes 2023 natures'!BB61/'4.1 Comptes 2023 natures'!BB3</f>
        <v>0</v>
      </c>
      <c r="BC61" s="13">
        <f>'4.1 Comptes 2023 natures'!BC61/'4.1 Comptes 2023 natures'!BC3</f>
        <v>0</v>
      </c>
      <c r="BD61" s="13">
        <f>'4.1 Comptes 2023 natures'!BD61/'4.1 Comptes 2023 natures'!BD3</f>
        <v>0</v>
      </c>
      <c r="BE61" s="13">
        <f>'4.1 Comptes 2023 natures'!BE61/'4.1 Comptes 2023 natures'!BE3</f>
        <v>0</v>
      </c>
      <c r="BF61" s="13">
        <f>'4.1 Comptes 2023 natures'!BF61/'4.1 Comptes 2023 natures'!BF3</f>
        <v>0</v>
      </c>
      <c r="BG61" s="13">
        <f>'4.1 Comptes 2023 natures'!BG61/'4.1 Comptes 2023 natures'!BG3</f>
        <v>0</v>
      </c>
    </row>
    <row r="62" spans="2:59" x14ac:dyDescent="0.2">
      <c r="C62" s="8">
        <v>386</v>
      </c>
      <c r="D62" s="8" t="s">
        <v>122</v>
      </c>
      <c r="E62" s="13">
        <f>'4.1 Comptes 2023 natures'!E62/'4.1 Comptes 2023 natures'!E3</f>
        <v>0</v>
      </c>
      <c r="F62" s="13">
        <f>'4.1 Comptes 2023 natures'!F62/'4.1 Comptes 2023 natures'!F3</f>
        <v>0</v>
      </c>
      <c r="G62" s="13">
        <f>'4.1 Comptes 2023 natures'!G62/'4.1 Comptes 2023 natures'!G3</f>
        <v>0</v>
      </c>
      <c r="H62" s="13">
        <f>'4.1 Comptes 2023 natures'!H62/'4.1 Comptes 2023 natures'!H3</f>
        <v>0</v>
      </c>
      <c r="I62" s="13">
        <f>'4.1 Comptes 2023 natures'!I62/'4.1 Comptes 2023 natures'!I3</f>
        <v>0</v>
      </c>
      <c r="J62" s="13">
        <f>'4.1 Comptes 2023 natures'!J62/'4.1 Comptes 2023 natures'!J3</f>
        <v>0</v>
      </c>
      <c r="K62" s="13">
        <f>'4.1 Comptes 2023 natures'!K62/'4.1 Comptes 2023 natures'!K3</f>
        <v>0</v>
      </c>
      <c r="L62" s="13">
        <f>'4.1 Comptes 2023 natures'!L62/'4.1 Comptes 2023 natures'!L3</f>
        <v>0</v>
      </c>
      <c r="M62" s="13">
        <f>'4.1 Comptes 2023 natures'!M62/'4.1 Comptes 2023 natures'!M3</f>
        <v>0</v>
      </c>
      <c r="N62" s="13">
        <f>'4.1 Comptes 2023 natures'!N62/'4.1 Comptes 2023 natures'!N3</f>
        <v>0</v>
      </c>
      <c r="O62" s="13">
        <f>'4.1 Comptes 2023 natures'!O62/'4.1 Comptes 2023 natures'!O3</f>
        <v>0</v>
      </c>
      <c r="P62" s="13">
        <f>'4.1 Comptes 2023 natures'!P62/'4.1 Comptes 2023 natures'!P3</f>
        <v>0</v>
      </c>
      <c r="Q62" s="13">
        <f>'4.1 Comptes 2023 natures'!Q62/'4.1 Comptes 2023 natures'!Q3</f>
        <v>0</v>
      </c>
      <c r="R62" s="13">
        <f>'4.1 Comptes 2023 natures'!R62/'4.1 Comptes 2023 natures'!R3</f>
        <v>0</v>
      </c>
      <c r="S62" s="13">
        <f>'4.1 Comptes 2023 natures'!S62/'4.1 Comptes 2023 natures'!S3</f>
        <v>0</v>
      </c>
      <c r="T62" s="13">
        <f>'4.1 Comptes 2023 natures'!T62/'4.1 Comptes 2023 natures'!T3</f>
        <v>0</v>
      </c>
      <c r="U62" s="13">
        <f>'4.1 Comptes 2023 natures'!U62/'4.1 Comptes 2023 natures'!U3</f>
        <v>0</v>
      </c>
      <c r="V62" s="13">
        <f>'4.1 Comptes 2023 natures'!V62/'4.1 Comptes 2023 natures'!V3</f>
        <v>0</v>
      </c>
      <c r="W62" s="13">
        <f>'4.1 Comptes 2023 natures'!W62/'4.1 Comptes 2023 natures'!W3</f>
        <v>0</v>
      </c>
      <c r="X62" s="13">
        <f>'4.1 Comptes 2023 natures'!X62/'4.1 Comptes 2023 natures'!X3</f>
        <v>0</v>
      </c>
      <c r="Y62" s="13">
        <f>'4.1 Comptes 2023 natures'!Y62/'4.1 Comptes 2023 natures'!Y3</f>
        <v>0</v>
      </c>
      <c r="Z62" s="13">
        <f>'4.1 Comptes 2023 natures'!Z62/'4.1 Comptes 2023 natures'!Z3</f>
        <v>0</v>
      </c>
      <c r="AA62" s="13">
        <f>'4.1 Comptes 2023 natures'!AA62/'4.1 Comptes 2023 natures'!AA3</f>
        <v>0</v>
      </c>
      <c r="AB62" s="13">
        <f>'4.1 Comptes 2023 natures'!AB62/'4.1 Comptes 2023 natures'!AB3</f>
        <v>0</v>
      </c>
      <c r="AC62" s="13">
        <f>'4.1 Comptes 2023 natures'!AC62/'4.1 Comptes 2023 natures'!AC3</f>
        <v>0</v>
      </c>
      <c r="AD62" s="13">
        <f>'4.1 Comptes 2023 natures'!AD62/'4.1 Comptes 2023 natures'!AD3</f>
        <v>0</v>
      </c>
      <c r="AE62" s="13">
        <f>'4.1 Comptes 2023 natures'!AE62/'4.1 Comptes 2023 natures'!AE3</f>
        <v>0</v>
      </c>
      <c r="AF62" s="13">
        <f>'4.1 Comptes 2023 natures'!AF62/'4.1 Comptes 2023 natures'!AF3</f>
        <v>0</v>
      </c>
      <c r="AG62" s="13">
        <f>'4.1 Comptes 2023 natures'!AG62/'4.1 Comptes 2023 natures'!AG3</f>
        <v>0</v>
      </c>
      <c r="AH62" s="13">
        <f>'4.1 Comptes 2023 natures'!AH62/'4.1 Comptes 2023 natures'!AH3</f>
        <v>0</v>
      </c>
      <c r="AI62" s="13">
        <f>'4.1 Comptes 2023 natures'!AI62/'4.1 Comptes 2023 natures'!AI3</f>
        <v>0</v>
      </c>
      <c r="AJ62" s="13">
        <f>'4.1 Comptes 2023 natures'!AJ62/'4.1 Comptes 2023 natures'!AJ3</f>
        <v>0</v>
      </c>
      <c r="AK62" s="13">
        <f>'4.1 Comptes 2023 natures'!AK62/'4.1 Comptes 2023 natures'!AK3</f>
        <v>0</v>
      </c>
      <c r="AL62" s="13">
        <f>'4.1 Comptes 2023 natures'!AL62/'4.1 Comptes 2023 natures'!AL3</f>
        <v>0</v>
      </c>
      <c r="AM62" s="13">
        <f>'4.1 Comptes 2023 natures'!AM62/'4.1 Comptes 2023 natures'!AM3</f>
        <v>0</v>
      </c>
      <c r="AN62" s="13">
        <f>'4.1 Comptes 2023 natures'!AN62/'4.1 Comptes 2023 natures'!AN3</f>
        <v>0</v>
      </c>
      <c r="AO62" s="13">
        <f>'4.1 Comptes 2023 natures'!AO62/'4.1 Comptes 2023 natures'!AO3</f>
        <v>0</v>
      </c>
      <c r="AP62" s="13">
        <f>'4.1 Comptes 2023 natures'!AP62/'4.1 Comptes 2023 natures'!AP3</f>
        <v>0</v>
      </c>
      <c r="AQ62" s="13">
        <f>'4.1 Comptes 2023 natures'!AQ62/'4.1 Comptes 2023 natures'!AQ3</f>
        <v>0</v>
      </c>
      <c r="AR62" s="13">
        <f>'4.1 Comptes 2023 natures'!AR62/'4.1 Comptes 2023 natures'!AR3</f>
        <v>0</v>
      </c>
      <c r="AS62" s="13">
        <f>'4.1 Comptes 2023 natures'!AS62/'4.1 Comptes 2023 natures'!AS3</f>
        <v>0</v>
      </c>
      <c r="AT62" s="13">
        <f>'4.1 Comptes 2023 natures'!AT62/'4.1 Comptes 2023 natures'!AT3</f>
        <v>0</v>
      </c>
      <c r="AU62" s="13">
        <f>'4.1 Comptes 2023 natures'!AU62/'4.1 Comptes 2023 natures'!AU3</f>
        <v>0</v>
      </c>
      <c r="AV62" s="13">
        <f>'4.1 Comptes 2023 natures'!AV62/'4.1 Comptes 2023 natures'!AV3</f>
        <v>0</v>
      </c>
      <c r="AW62" s="13">
        <f>'4.1 Comptes 2023 natures'!AW62/'4.1 Comptes 2023 natures'!AW3</f>
        <v>0</v>
      </c>
      <c r="AX62" s="13">
        <f>'4.1 Comptes 2023 natures'!AX62/'4.1 Comptes 2023 natures'!AX3</f>
        <v>0</v>
      </c>
      <c r="AY62" s="13">
        <f>'4.1 Comptes 2023 natures'!AY62/'4.1 Comptes 2023 natures'!AY3</f>
        <v>0</v>
      </c>
      <c r="AZ62" s="13">
        <f>'4.1 Comptes 2023 natures'!AZ62/'4.1 Comptes 2023 natures'!AZ3</f>
        <v>0</v>
      </c>
      <c r="BA62" s="13">
        <f>'4.1 Comptes 2023 natures'!BA62/'4.1 Comptes 2023 natures'!BA3</f>
        <v>0</v>
      </c>
      <c r="BB62" s="13">
        <f>'4.1 Comptes 2023 natures'!BB62/'4.1 Comptes 2023 natures'!BB3</f>
        <v>0</v>
      </c>
      <c r="BC62" s="13">
        <f>'4.1 Comptes 2023 natures'!BC62/'4.1 Comptes 2023 natures'!BC3</f>
        <v>0</v>
      </c>
      <c r="BD62" s="13">
        <f>'4.1 Comptes 2023 natures'!BD62/'4.1 Comptes 2023 natures'!BD3</f>
        <v>0</v>
      </c>
      <c r="BE62" s="13">
        <f>'4.1 Comptes 2023 natures'!BE62/'4.1 Comptes 2023 natures'!BE3</f>
        <v>0</v>
      </c>
      <c r="BF62" s="13">
        <f>'4.1 Comptes 2023 natures'!BF62/'4.1 Comptes 2023 natures'!BF3</f>
        <v>0</v>
      </c>
      <c r="BG62" s="13">
        <f>'4.1 Comptes 2023 natures'!BG62/'4.1 Comptes 2023 natures'!BG3</f>
        <v>0</v>
      </c>
    </row>
    <row r="63" spans="2:59" x14ac:dyDescent="0.2">
      <c r="C63" s="8">
        <v>389</v>
      </c>
      <c r="D63" s="8" t="s">
        <v>123</v>
      </c>
      <c r="E63" s="13">
        <f>'4.1 Comptes 2023 natures'!E63/'4.1 Comptes 2023 natures'!E3</f>
        <v>0</v>
      </c>
      <c r="F63" s="13">
        <f>'4.1 Comptes 2023 natures'!F63/'4.1 Comptes 2023 natures'!F3</f>
        <v>0</v>
      </c>
      <c r="G63" s="13">
        <f>'4.1 Comptes 2023 natures'!G63/'4.1 Comptes 2023 natures'!G3</f>
        <v>0</v>
      </c>
      <c r="H63" s="13">
        <f>'4.1 Comptes 2023 natures'!H63/'4.1 Comptes 2023 natures'!H3</f>
        <v>0</v>
      </c>
      <c r="I63" s="13">
        <f>'4.1 Comptes 2023 natures'!I63/'4.1 Comptes 2023 natures'!I3</f>
        <v>40.905372238887374</v>
      </c>
      <c r="J63" s="13">
        <f>'4.1 Comptes 2023 natures'!J63/'4.1 Comptes 2023 natures'!J3</f>
        <v>56.054140164899877</v>
      </c>
      <c r="K63" s="13">
        <f>'4.1 Comptes 2023 natures'!K63/'4.1 Comptes 2023 natures'!K3</f>
        <v>330.39647577092512</v>
      </c>
      <c r="L63" s="13">
        <f>'4.1 Comptes 2023 natures'!L63/'4.1 Comptes 2023 natures'!L3</f>
        <v>0</v>
      </c>
      <c r="M63" s="13">
        <f>'4.1 Comptes 2023 natures'!M63/'4.1 Comptes 2023 natures'!M3</f>
        <v>0</v>
      </c>
      <c r="N63" s="13">
        <f>'4.1 Comptes 2023 natures'!N63/'4.1 Comptes 2023 natures'!N3</f>
        <v>0</v>
      </c>
      <c r="O63" s="13">
        <f>'4.1 Comptes 2023 natures'!O63/'4.1 Comptes 2023 natures'!O3</f>
        <v>0</v>
      </c>
      <c r="P63" s="13">
        <f>'4.1 Comptes 2023 natures'!P63/'4.1 Comptes 2023 natures'!P3</f>
        <v>0</v>
      </c>
      <c r="Q63" s="13">
        <f>'4.1 Comptes 2023 natures'!Q63/'4.1 Comptes 2023 natures'!Q3</f>
        <v>0</v>
      </c>
      <c r="R63" s="13">
        <f>'4.1 Comptes 2023 natures'!R63/'4.1 Comptes 2023 natures'!R3</f>
        <v>309.52380952380952</v>
      </c>
      <c r="S63" s="13">
        <f>'4.1 Comptes 2023 natures'!S63/'4.1 Comptes 2023 natures'!S3</f>
        <v>0</v>
      </c>
      <c r="T63" s="13">
        <f>'4.1 Comptes 2023 natures'!T63/'4.1 Comptes 2023 natures'!T3</f>
        <v>0</v>
      </c>
      <c r="U63" s="13">
        <f>'4.1 Comptes 2023 natures'!U63/'4.1 Comptes 2023 natures'!U3</f>
        <v>73.260073260073256</v>
      </c>
      <c r="V63" s="13">
        <f>'4.1 Comptes 2023 natures'!V63/'4.1 Comptes 2023 natures'!V3</f>
        <v>69.60556844547564</v>
      </c>
      <c r="W63" s="13">
        <f>'4.1 Comptes 2023 natures'!W63/'4.1 Comptes 2023 natures'!W3</f>
        <v>152.95197308045275</v>
      </c>
      <c r="X63" s="13">
        <f>'4.1 Comptes 2023 natures'!X63/'4.1 Comptes 2023 natures'!X3</f>
        <v>0</v>
      </c>
      <c r="Y63" s="13">
        <f>'4.1 Comptes 2023 natures'!Y63/'4.1 Comptes 2023 natures'!Y3</f>
        <v>0</v>
      </c>
      <c r="Z63" s="13">
        <f>'4.1 Comptes 2023 natures'!Z63/'4.1 Comptes 2023 natures'!Z3</f>
        <v>2069.1652375152253</v>
      </c>
      <c r="AA63" s="13">
        <f>'4.1 Comptes 2023 natures'!AA63/'4.1 Comptes 2023 natures'!AA3</f>
        <v>0</v>
      </c>
      <c r="AB63" s="13">
        <f>'4.1 Comptes 2023 natures'!AB63/'4.1 Comptes 2023 natures'!AB3</f>
        <v>0</v>
      </c>
      <c r="AC63" s="13">
        <f>'4.1 Comptes 2023 natures'!AC63/'4.1 Comptes 2023 natures'!AC3</f>
        <v>522.82446478873237</v>
      </c>
      <c r="AD63" s="13">
        <f>'4.1 Comptes 2023 natures'!AD63/'4.1 Comptes 2023 natures'!AD3</f>
        <v>0</v>
      </c>
      <c r="AE63" s="13">
        <f>'4.1 Comptes 2023 natures'!AE63/'4.1 Comptes 2023 natures'!AE3</f>
        <v>905.51181102362204</v>
      </c>
      <c r="AF63" s="13">
        <f>'4.1 Comptes 2023 natures'!AF63/'4.1 Comptes 2023 natures'!AF3</f>
        <v>0</v>
      </c>
      <c r="AG63" s="13">
        <f>'4.1 Comptes 2023 natures'!AG63/'4.1 Comptes 2023 natures'!AG3</f>
        <v>350.46728971962619</v>
      </c>
      <c r="AH63" s="13">
        <f>'4.1 Comptes 2023 natures'!AH63/'4.1 Comptes 2023 natures'!AH3</f>
        <v>0</v>
      </c>
      <c r="AI63" s="13">
        <f>'4.1 Comptes 2023 natures'!AI63/'4.1 Comptes 2023 natures'!AI3</f>
        <v>640</v>
      </c>
      <c r="AJ63" s="13">
        <f>'4.1 Comptes 2023 natures'!AJ63/'4.1 Comptes 2023 natures'!AJ3</f>
        <v>246.61809124278972</v>
      </c>
      <c r="AK63" s="13">
        <f>'4.1 Comptes 2023 natures'!AK63/'4.1 Comptes 2023 natures'!AK3</f>
        <v>638.20917107583773</v>
      </c>
      <c r="AL63" s="13">
        <f>'4.1 Comptes 2023 natures'!AL63/'4.1 Comptes 2023 natures'!AL3</f>
        <v>0</v>
      </c>
      <c r="AM63" s="13">
        <f>'4.1 Comptes 2023 natures'!AM63/'4.1 Comptes 2023 natures'!AM3</f>
        <v>140.09375</v>
      </c>
      <c r="AN63" s="13">
        <f>'4.1 Comptes 2023 natures'!AN63/'4.1 Comptes 2023 natures'!AN3</f>
        <v>1853.1169940222032</v>
      </c>
      <c r="AO63" s="13">
        <f>'4.1 Comptes 2023 natures'!AO63/'4.1 Comptes 2023 natures'!AO3</f>
        <v>0</v>
      </c>
      <c r="AP63" s="13">
        <f>'4.1 Comptes 2023 natures'!AP63/'4.1 Comptes 2023 natures'!AP3</f>
        <v>396.19651347068145</v>
      </c>
      <c r="AQ63" s="13">
        <f>'4.1 Comptes 2023 natures'!AQ63/'4.1 Comptes 2023 natures'!AQ3</f>
        <v>88.871715610510051</v>
      </c>
      <c r="AR63" s="13">
        <f>'4.1 Comptes 2023 natures'!AR63/'4.1 Comptes 2023 natures'!AR3</f>
        <v>0.30191400832177534</v>
      </c>
      <c r="AS63" s="13">
        <f>'4.1 Comptes 2023 natures'!AS63/'4.1 Comptes 2023 natures'!AS3</f>
        <v>0</v>
      </c>
      <c r="AT63" s="13">
        <f>'4.1 Comptes 2023 natures'!AT63/'4.1 Comptes 2023 natures'!AT3</f>
        <v>955.41401273885356</v>
      </c>
      <c r="AU63" s="13">
        <f>'4.1 Comptes 2023 natures'!AU63/'4.1 Comptes 2023 natures'!AU3</f>
        <v>0</v>
      </c>
      <c r="AV63" s="13">
        <f>'4.1 Comptes 2023 natures'!AV63/'4.1 Comptes 2023 natures'!AV3</f>
        <v>258.39793281653749</v>
      </c>
      <c r="AW63" s="13">
        <f>'4.1 Comptes 2023 natures'!AW63/'4.1 Comptes 2023 natures'!AW3</f>
        <v>0</v>
      </c>
      <c r="AX63" s="13">
        <f>'4.1 Comptes 2023 natures'!AX63/'4.1 Comptes 2023 natures'!AX3</f>
        <v>0</v>
      </c>
      <c r="AY63" s="13">
        <f>'4.1 Comptes 2023 natures'!AY63/'4.1 Comptes 2023 natures'!AY3</f>
        <v>151.79113539769278</v>
      </c>
      <c r="AZ63" s="13">
        <f>'4.1 Comptes 2023 natures'!AZ63/'4.1 Comptes 2023 natures'!AZ3</f>
        <v>0</v>
      </c>
      <c r="BA63" s="13">
        <f>'4.1 Comptes 2023 natures'!BA63/'4.1 Comptes 2023 natures'!BA3</f>
        <v>0</v>
      </c>
      <c r="BB63" s="13">
        <f>'4.1 Comptes 2023 natures'!BB63/'4.1 Comptes 2023 natures'!BB3</f>
        <v>0</v>
      </c>
      <c r="BC63" s="13">
        <f>'4.1 Comptes 2023 natures'!BC63/'4.1 Comptes 2023 natures'!BC3</f>
        <v>146.25228519195613</v>
      </c>
      <c r="BD63" s="13">
        <f>'4.1 Comptes 2023 natures'!BD63/'4.1 Comptes 2023 natures'!BD3</f>
        <v>157.00049136127058</v>
      </c>
      <c r="BE63" s="13">
        <f>'4.1 Comptes 2023 natures'!BE63/'4.1 Comptes 2023 natures'!BE3</f>
        <v>48.420571356530509</v>
      </c>
      <c r="BF63" s="13">
        <f>'4.1 Comptes 2023 natures'!BF63/'4.1 Comptes 2023 natures'!BF3</f>
        <v>494.61349254581705</v>
      </c>
      <c r="BG63" s="13">
        <f>'4.1 Comptes 2023 natures'!BG63/'4.1 Comptes 2023 natures'!BG3</f>
        <v>187.82847148663629</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9">F66+F67+F68+F69+F70+F71+F72+F73</f>
        <v>104.86689655172414</v>
      </c>
      <c r="G65" s="76">
        <f t="shared" si="9"/>
        <v>13.176619433198381</v>
      </c>
      <c r="H65" s="76">
        <f t="shared" si="9"/>
        <v>124.73887640449439</v>
      </c>
      <c r="I65" s="76">
        <f t="shared" si="9"/>
        <v>87.114807744750479</v>
      </c>
      <c r="J65" s="76">
        <f t="shared" si="9"/>
        <v>26.964075382803298</v>
      </c>
      <c r="K65" s="76">
        <f t="shared" si="9"/>
        <v>79.354295154185024</v>
      </c>
      <c r="L65" s="76">
        <f t="shared" si="9"/>
        <v>398.86939163199622</v>
      </c>
      <c r="M65" s="76">
        <f t="shared" si="9"/>
        <v>66.830583090379008</v>
      </c>
      <c r="N65" s="76">
        <f t="shared" si="9"/>
        <v>0</v>
      </c>
      <c r="O65" s="76">
        <f t="shared" si="9"/>
        <v>43.071094811192609</v>
      </c>
      <c r="P65" s="76">
        <f t="shared" si="9"/>
        <v>24.705794392523366</v>
      </c>
      <c r="Q65" s="76">
        <f t="shared" si="9"/>
        <v>0</v>
      </c>
      <c r="R65" s="76">
        <f t="shared" si="9"/>
        <v>166.17059523809522</v>
      </c>
      <c r="S65" s="76">
        <f t="shared" si="9"/>
        <v>0</v>
      </c>
      <c r="T65" s="76">
        <f t="shared" si="9"/>
        <v>0</v>
      </c>
      <c r="U65" s="76">
        <f t="shared" si="9"/>
        <v>0</v>
      </c>
      <c r="V65" s="76">
        <f t="shared" si="9"/>
        <v>169.37354988399071</v>
      </c>
      <c r="W65" s="76">
        <f t="shared" si="9"/>
        <v>36.341388803915571</v>
      </c>
      <c r="X65" s="76">
        <f t="shared" si="9"/>
        <v>0</v>
      </c>
      <c r="Y65" s="76">
        <f t="shared" si="9"/>
        <v>0</v>
      </c>
      <c r="Z65" s="76">
        <f t="shared" si="9"/>
        <v>335.82643118148599</v>
      </c>
      <c r="AA65" s="76">
        <f t="shared" si="9"/>
        <v>0</v>
      </c>
      <c r="AB65" s="76">
        <f t="shared" si="9"/>
        <v>0</v>
      </c>
      <c r="AC65" s="76">
        <f t="shared" si="9"/>
        <v>62.613943661971831</v>
      </c>
      <c r="AD65" s="76">
        <f t="shared" si="9"/>
        <v>20.881625441696112</v>
      </c>
      <c r="AE65" s="76">
        <f t="shared" si="9"/>
        <v>207.84872047244093</v>
      </c>
      <c r="AF65" s="76">
        <f t="shared" si="9"/>
        <v>7.4498978027593257</v>
      </c>
      <c r="AG65" s="76">
        <f t="shared" si="9"/>
        <v>12.032710280373832</v>
      </c>
      <c r="AH65" s="76">
        <f t="shared" si="9"/>
        <v>0</v>
      </c>
      <c r="AI65" s="76">
        <f t="shared" si="9"/>
        <v>0</v>
      </c>
      <c r="AJ65" s="76">
        <f t="shared" si="9"/>
        <v>48.767697954902992</v>
      </c>
      <c r="AK65" s="76">
        <f t="shared" si="9"/>
        <v>49.600396825396821</v>
      </c>
      <c r="AL65" s="76">
        <f t="shared" si="9"/>
        <v>2.4885286783042391</v>
      </c>
      <c r="AM65" s="76">
        <f t="shared" si="9"/>
        <v>103.05303571428571</v>
      </c>
      <c r="AN65" s="76">
        <f t="shared" si="9"/>
        <v>31.676729291204097</v>
      </c>
      <c r="AO65" s="76">
        <f t="shared" si="9"/>
        <v>151.06419847328243</v>
      </c>
      <c r="AP65" s="76">
        <f t="shared" si="9"/>
        <v>0</v>
      </c>
      <c r="AQ65" s="76">
        <f t="shared" si="9"/>
        <v>0</v>
      </c>
      <c r="AR65" s="76">
        <f t="shared" si="9"/>
        <v>70.617711511789182</v>
      </c>
      <c r="AS65" s="76">
        <f t="shared" si="9"/>
        <v>50.549245283018863</v>
      </c>
      <c r="AT65" s="76">
        <f t="shared" si="9"/>
        <v>6.369426751592357</v>
      </c>
      <c r="AU65" s="76">
        <f t="shared" si="9"/>
        <v>55.682674276396249</v>
      </c>
      <c r="AV65" s="76">
        <f t="shared" si="9"/>
        <v>0</v>
      </c>
      <c r="AW65" s="76">
        <f t="shared" si="9"/>
        <v>20.715289256198346</v>
      </c>
      <c r="AX65" s="76">
        <f t="shared" si="9"/>
        <v>0</v>
      </c>
      <c r="AY65" s="76">
        <f t="shared" si="9"/>
        <v>66.109441408621734</v>
      </c>
      <c r="AZ65" s="76">
        <f t="shared" si="9"/>
        <v>0</v>
      </c>
      <c r="BA65" s="76">
        <f t="shared" si="9"/>
        <v>45.052459791863761</v>
      </c>
      <c r="BB65" s="76">
        <f t="shared" si="9"/>
        <v>0</v>
      </c>
      <c r="BC65" s="76">
        <f t="shared" si="9"/>
        <v>28.336380255941499</v>
      </c>
      <c r="BD65" s="76">
        <f t="shared" si="9"/>
        <v>106.81115268015239</v>
      </c>
      <c r="BE65" s="76">
        <f t="shared" si="9"/>
        <v>163.42301563287947</v>
      </c>
      <c r="BF65" s="76">
        <f t="shared" si="9"/>
        <v>72.050944829550858</v>
      </c>
      <c r="BG65" s="76">
        <f t="shared" si="9"/>
        <v>29.660159707681569</v>
      </c>
    </row>
    <row r="66" spans="1:59" x14ac:dyDescent="0.2">
      <c r="C66" s="8">
        <v>390</v>
      </c>
      <c r="D66" s="8" t="s">
        <v>125</v>
      </c>
      <c r="E66" s="13">
        <f>'4.1 Comptes 2023 natures'!E66/'4.1 Comptes 2023 natures'!E3</f>
        <v>0</v>
      </c>
      <c r="F66" s="13">
        <f>'4.1 Comptes 2023 natures'!F66/'4.1 Comptes 2023 natures'!F3</f>
        <v>0.76628352490421459</v>
      </c>
      <c r="G66" s="13">
        <f>'4.1 Comptes 2023 natures'!G66/'4.1 Comptes 2023 natures'!G3</f>
        <v>0</v>
      </c>
      <c r="H66" s="13">
        <f>'4.1 Comptes 2023 natures'!H66/'4.1 Comptes 2023 natures'!H3</f>
        <v>0</v>
      </c>
      <c r="I66" s="13">
        <f>'4.1 Comptes 2023 natures'!I66/'4.1 Comptes 2023 natures'!I3</f>
        <v>0</v>
      </c>
      <c r="J66" s="13">
        <f>'4.1 Comptes 2023 natures'!J66/'4.1 Comptes 2023 natures'!J3</f>
        <v>0</v>
      </c>
      <c r="K66" s="13">
        <f>'4.1 Comptes 2023 natures'!K66/'4.1 Comptes 2023 natures'!K3</f>
        <v>0</v>
      </c>
      <c r="L66" s="13">
        <f>'4.1 Comptes 2023 natures'!L66/'4.1 Comptes 2023 natures'!L3</f>
        <v>12.952351047962948</v>
      </c>
      <c r="M66" s="13">
        <f>'4.1 Comptes 2023 natures'!M66/'4.1 Comptes 2023 natures'!M3</f>
        <v>0.87463556851311952</v>
      </c>
      <c r="N66" s="13">
        <f>'4.1 Comptes 2023 natures'!N66/'4.1 Comptes 2023 natures'!N3</f>
        <v>0</v>
      </c>
      <c r="O66" s="13">
        <f>'4.1 Comptes 2023 natures'!O66/'4.1 Comptes 2023 natures'!O3</f>
        <v>11.295762021189894</v>
      </c>
      <c r="P66" s="13">
        <f>'4.1 Comptes 2023 natures'!P66/'4.1 Comptes 2023 natures'!P3</f>
        <v>0</v>
      </c>
      <c r="Q66" s="13">
        <f>'4.1 Comptes 2023 natures'!Q66/'4.1 Comptes 2023 natures'!Q3</f>
        <v>0</v>
      </c>
      <c r="R66" s="13">
        <f>'4.1 Comptes 2023 natures'!R66/'4.1 Comptes 2023 natures'!R3</f>
        <v>0</v>
      </c>
      <c r="S66" s="13">
        <f>'4.1 Comptes 2023 natures'!S66/'4.1 Comptes 2023 natures'!S3</f>
        <v>0</v>
      </c>
      <c r="T66" s="13">
        <f>'4.1 Comptes 2023 natures'!T66/'4.1 Comptes 2023 natures'!T3</f>
        <v>0</v>
      </c>
      <c r="U66" s="13">
        <f>'4.1 Comptes 2023 natures'!U66/'4.1 Comptes 2023 natures'!U3</f>
        <v>0</v>
      </c>
      <c r="V66" s="13">
        <f>'4.1 Comptes 2023 natures'!V66/'4.1 Comptes 2023 natures'!V3</f>
        <v>0</v>
      </c>
      <c r="W66" s="13">
        <f>'4.1 Comptes 2023 natures'!W66/'4.1 Comptes 2023 natures'!W3</f>
        <v>4.588559192413582</v>
      </c>
      <c r="X66" s="13">
        <f>'4.1 Comptes 2023 natures'!X66/'4.1 Comptes 2023 natures'!X3</f>
        <v>0</v>
      </c>
      <c r="Y66" s="13">
        <f>'4.1 Comptes 2023 natures'!Y66/'4.1 Comptes 2023 natures'!Y3</f>
        <v>0</v>
      </c>
      <c r="Z66" s="13">
        <f>'4.1 Comptes 2023 natures'!Z66/'4.1 Comptes 2023 natures'!Z3</f>
        <v>284.66930572472592</v>
      </c>
      <c r="AA66" s="13">
        <f>'4.1 Comptes 2023 natures'!AA66/'4.1 Comptes 2023 natures'!AA3</f>
        <v>0</v>
      </c>
      <c r="AB66" s="13">
        <f>'4.1 Comptes 2023 natures'!AB66/'4.1 Comptes 2023 natures'!AB3</f>
        <v>0</v>
      </c>
      <c r="AC66" s="13">
        <f>'4.1 Comptes 2023 natures'!AC66/'4.1 Comptes 2023 natures'!AC3</f>
        <v>1.9014084507042253</v>
      </c>
      <c r="AD66" s="13">
        <f>'4.1 Comptes 2023 natures'!AD66/'4.1 Comptes 2023 natures'!AD3</f>
        <v>0</v>
      </c>
      <c r="AE66" s="13">
        <f>'4.1 Comptes 2023 natures'!AE66/'4.1 Comptes 2023 natures'!AE3</f>
        <v>0</v>
      </c>
      <c r="AF66" s="13">
        <f>'4.1 Comptes 2023 natures'!AF66/'4.1 Comptes 2023 natures'!AF3</f>
        <v>2.9946601941747573</v>
      </c>
      <c r="AG66" s="13">
        <f>'4.1 Comptes 2023 natures'!AG66/'4.1 Comptes 2023 natures'!AG3</f>
        <v>0</v>
      </c>
      <c r="AH66" s="13">
        <f>'4.1 Comptes 2023 natures'!AH66/'4.1 Comptes 2023 natures'!AH3</f>
        <v>0</v>
      </c>
      <c r="AI66" s="13">
        <f>'4.1 Comptes 2023 natures'!AI66/'4.1 Comptes 2023 natures'!AI3</f>
        <v>0</v>
      </c>
      <c r="AJ66" s="13">
        <f>'4.1 Comptes 2023 natures'!AJ66/'4.1 Comptes 2023 natures'!AJ3</f>
        <v>0</v>
      </c>
      <c r="AK66" s="13">
        <f>'4.1 Comptes 2023 natures'!AK66/'4.1 Comptes 2023 natures'!AK3</f>
        <v>0</v>
      </c>
      <c r="AL66" s="13">
        <f>'4.1 Comptes 2023 natures'!AL66/'4.1 Comptes 2023 natures'!AL3</f>
        <v>0</v>
      </c>
      <c r="AM66" s="13">
        <f>'4.1 Comptes 2023 natures'!AM66/'4.1 Comptes 2023 natures'!AM3</f>
        <v>0</v>
      </c>
      <c r="AN66" s="13">
        <f>'4.1 Comptes 2023 natures'!AN66/'4.1 Comptes 2023 natures'!AN3</f>
        <v>0</v>
      </c>
      <c r="AO66" s="13">
        <f>'4.1 Comptes 2023 natures'!AO66/'4.1 Comptes 2023 natures'!AO3</f>
        <v>1.2213740458015268</v>
      </c>
      <c r="AP66" s="13">
        <f>'4.1 Comptes 2023 natures'!AP66/'4.1 Comptes 2023 natures'!AP3</f>
        <v>0</v>
      </c>
      <c r="AQ66" s="13">
        <f>'4.1 Comptes 2023 natures'!AQ66/'4.1 Comptes 2023 natures'!AQ3</f>
        <v>0</v>
      </c>
      <c r="AR66" s="13">
        <f>'4.1 Comptes 2023 natures'!AR66/'4.1 Comptes 2023 natures'!AR3</f>
        <v>0</v>
      </c>
      <c r="AS66" s="13">
        <f>'4.1 Comptes 2023 natures'!AS66/'4.1 Comptes 2023 natures'!AS3</f>
        <v>0</v>
      </c>
      <c r="AT66" s="13">
        <f>'4.1 Comptes 2023 natures'!AT66/'4.1 Comptes 2023 natures'!AT3</f>
        <v>0</v>
      </c>
      <c r="AU66" s="13">
        <f>'4.1 Comptes 2023 natures'!AU66/'4.1 Comptes 2023 natures'!AU3</f>
        <v>0</v>
      </c>
      <c r="AV66" s="13">
        <f>'4.1 Comptes 2023 natures'!AV66/'4.1 Comptes 2023 natures'!AV3</f>
        <v>0</v>
      </c>
      <c r="AW66" s="13">
        <f>'4.1 Comptes 2023 natures'!AW66/'4.1 Comptes 2023 natures'!AW3</f>
        <v>0</v>
      </c>
      <c r="AX66" s="13">
        <f>'4.1 Comptes 2023 natures'!AX66/'4.1 Comptes 2023 natures'!AX3</f>
        <v>0</v>
      </c>
      <c r="AY66" s="13">
        <f>'4.1 Comptes 2023 natures'!AY66/'4.1 Comptes 2023 natures'!AY3</f>
        <v>0</v>
      </c>
      <c r="AZ66" s="13">
        <f>'4.1 Comptes 2023 natures'!AZ66/'4.1 Comptes 2023 natures'!AZ3</f>
        <v>0</v>
      </c>
      <c r="BA66" s="13">
        <f>'4.1 Comptes 2023 natures'!BA66/'4.1 Comptes 2023 natures'!BA3</f>
        <v>0</v>
      </c>
      <c r="BB66" s="13">
        <f>'4.1 Comptes 2023 natures'!BB66/'4.1 Comptes 2023 natures'!BB3</f>
        <v>0</v>
      </c>
      <c r="BC66" s="13">
        <f>'4.1 Comptes 2023 natures'!BC66/'4.1 Comptes 2023 natures'!BC3</f>
        <v>0</v>
      </c>
      <c r="BD66" s="13">
        <f>'4.1 Comptes 2023 natures'!BD66/'4.1 Comptes 2023 natures'!BD3</f>
        <v>9.926449401727746</v>
      </c>
      <c r="BE66" s="13">
        <f>'4.1 Comptes 2023 natures'!BE66/'4.1 Comptes 2023 natures'!BE3</f>
        <v>6.6706858295511857</v>
      </c>
      <c r="BF66" s="13">
        <f>'4.1 Comptes 2023 natures'!BF66/'4.1 Comptes 2023 natures'!BF3</f>
        <v>45.070510872661664</v>
      </c>
      <c r="BG66" s="13">
        <f>'4.1 Comptes 2023 natures'!BG66/'4.1 Comptes 2023 natures'!BG3</f>
        <v>3.2844767417990722E-2</v>
      </c>
    </row>
    <row r="67" spans="1:59" x14ac:dyDescent="0.2">
      <c r="C67" s="8">
        <v>391</v>
      </c>
      <c r="D67" s="8" t="s">
        <v>126</v>
      </c>
      <c r="E67" s="13">
        <f>'4.1 Comptes 2023 natures'!E67/'4.1 Comptes 2023 natures'!E3</f>
        <v>0</v>
      </c>
      <c r="F67" s="13">
        <f>'4.1 Comptes 2023 natures'!F67/'4.1 Comptes 2023 natures'!F3</f>
        <v>19.95153256704981</v>
      </c>
      <c r="G67" s="13">
        <f>'4.1 Comptes 2023 natures'!G67/'4.1 Comptes 2023 natures'!G3</f>
        <v>9.2692307692307701</v>
      </c>
      <c r="H67" s="13">
        <f>'4.1 Comptes 2023 natures'!H67/'4.1 Comptes 2023 natures'!H3</f>
        <v>123.93887640449439</v>
      </c>
      <c r="I67" s="13">
        <f>'4.1 Comptes 2023 natures'!I67/'4.1 Comptes 2023 natures'!I3</f>
        <v>2.3179710935369511</v>
      </c>
      <c r="J67" s="13">
        <f>'4.1 Comptes 2023 natures'!J67/'4.1 Comptes 2023 natures'!J3</f>
        <v>26.964075382803298</v>
      </c>
      <c r="K67" s="13">
        <f>'4.1 Comptes 2023 natures'!K67/'4.1 Comptes 2023 natures'!K3</f>
        <v>45.504772393538914</v>
      </c>
      <c r="L67" s="13">
        <f>'4.1 Comptes 2023 natures'!L67/'4.1 Comptes 2023 natures'!L3</f>
        <v>122.31416516210062</v>
      </c>
      <c r="M67" s="13">
        <f>'4.1 Comptes 2023 natures'!M67/'4.1 Comptes 2023 natures'!M3</f>
        <v>43.18888483965015</v>
      </c>
      <c r="N67" s="13">
        <f>'4.1 Comptes 2023 natures'!N67/'4.1 Comptes 2023 natures'!N3</f>
        <v>0</v>
      </c>
      <c r="O67" s="13">
        <f>'4.1 Comptes 2023 natures'!O67/'4.1 Comptes 2023 natures'!O3</f>
        <v>31.775332790002718</v>
      </c>
      <c r="P67" s="13">
        <f>'4.1 Comptes 2023 natures'!P67/'4.1 Comptes 2023 natures'!P3</f>
        <v>24.705794392523366</v>
      </c>
      <c r="Q67" s="13">
        <f>'4.1 Comptes 2023 natures'!Q67/'4.1 Comptes 2023 natures'!Q3</f>
        <v>0</v>
      </c>
      <c r="R67" s="13">
        <f>'4.1 Comptes 2023 natures'!R67/'4.1 Comptes 2023 natures'!R3</f>
        <v>166.17059523809522</v>
      </c>
      <c r="S67" s="13">
        <f>'4.1 Comptes 2023 natures'!S67/'4.1 Comptes 2023 natures'!S3</f>
        <v>0</v>
      </c>
      <c r="T67" s="13">
        <f>'4.1 Comptes 2023 natures'!T67/'4.1 Comptes 2023 natures'!T3</f>
        <v>0</v>
      </c>
      <c r="U67" s="13">
        <f>'4.1 Comptes 2023 natures'!U67/'4.1 Comptes 2023 natures'!U3</f>
        <v>0</v>
      </c>
      <c r="V67" s="13">
        <f>'4.1 Comptes 2023 natures'!V67/'4.1 Comptes 2023 natures'!V3</f>
        <v>169.37354988399071</v>
      </c>
      <c r="W67" s="13">
        <f>'4.1 Comptes 2023 natures'!W67/'4.1 Comptes 2023 natures'!W3</f>
        <v>28.265524625267666</v>
      </c>
      <c r="X67" s="13">
        <f>'4.1 Comptes 2023 natures'!X67/'4.1 Comptes 2023 natures'!X3</f>
        <v>0</v>
      </c>
      <c r="Y67" s="13">
        <f>'4.1 Comptes 2023 natures'!Y67/'4.1 Comptes 2023 natures'!Y3</f>
        <v>0</v>
      </c>
      <c r="Z67" s="13">
        <f>'4.1 Comptes 2023 natures'!Z67/'4.1 Comptes 2023 natures'!Z3</f>
        <v>0</v>
      </c>
      <c r="AA67" s="13">
        <f>'4.1 Comptes 2023 natures'!AA67/'4.1 Comptes 2023 natures'!AA3</f>
        <v>0</v>
      </c>
      <c r="AB67" s="13">
        <f>'4.1 Comptes 2023 natures'!AB67/'4.1 Comptes 2023 natures'!AB3</f>
        <v>0</v>
      </c>
      <c r="AC67" s="13">
        <f>'4.1 Comptes 2023 natures'!AC67/'4.1 Comptes 2023 natures'!AC3</f>
        <v>60.712535211267607</v>
      </c>
      <c r="AD67" s="13">
        <f>'4.1 Comptes 2023 natures'!AD67/'4.1 Comptes 2023 natures'!AD3</f>
        <v>20.881625441696112</v>
      </c>
      <c r="AE67" s="13">
        <f>'4.1 Comptes 2023 natures'!AE67/'4.1 Comptes 2023 natures'!AE3</f>
        <v>207.84872047244093</v>
      </c>
      <c r="AF67" s="13">
        <f>'4.1 Comptes 2023 natures'!AF67/'4.1 Comptes 2023 natures'!AF3</f>
        <v>4.455237608584568</v>
      </c>
      <c r="AG67" s="13">
        <f>'4.1 Comptes 2023 natures'!AG67/'4.1 Comptes 2023 natures'!AG3</f>
        <v>12.032710280373832</v>
      </c>
      <c r="AH67" s="13">
        <f>'4.1 Comptes 2023 natures'!AH67/'4.1 Comptes 2023 natures'!AH3</f>
        <v>0</v>
      </c>
      <c r="AI67" s="13">
        <f>'4.1 Comptes 2023 natures'!AI67/'4.1 Comptes 2023 natures'!AI3</f>
        <v>0</v>
      </c>
      <c r="AJ67" s="13">
        <f>'4.1 Comptes 2023 natures'!AJ67/'4.1 Comptes 2023 natures'!AJ3</f>
        <v>48.767697954902992</v>
      </c>
      <c r="AK67" s="13">
        <f>'4.1 Comptes 2023 natures'!AK67/'4.1 Comptes 2023 natures'!AK3</f>
        <v>0</v>
      </c>
      <c r="AL67" s="13">
        <f>'4.1 Comptes 2023 natures'!AL67/'4.1 Comptes 2023 natures'!AL3</f>
        <v>2.4885286783042391</v>
      </c>
      <c r="AM67" s="13">
        <f>'4.1 Comptes 2023 natures'!AM67/'4.1 Comptes 2023 natures'!AM3</f>
        <v>103.05303571428571</v>
      </c>
      <c r="AN67" s="13">
        <f>'4.1 Comptes 2023 natures'!AN67/'4.1 Comptes 2023 natures'!AN3</f>
        <v>31.676729291204097</v>
      </c>
      <c r="AO67" s="13">
        <f>'4.1 Comptes 2023 natures'!AO67/'4.1 Comptes 2023 natures'!AO3</f>
        <v>97.769312977099233</v>
      </c>
      <c r="AP67" s="13">
        <f>'4.1 Comptes 2023 natures'!AP67/'4.1 Comptes 2023 natures'!AP3</f>
        <v>0</v>
      </c>
      <c r="AQ67" s="13">
        <f>'4.1 Comptes 2023 natures'!AQ67/'4.1 Comptes 2023 natures'!AQ3</f>
        <v>0</v>
      </c>
      <c r="AR67" s="13">
        <f>'4.1 Comptes 2023 natures'!AR67/'4.1 Comptes 2023 natures'!AR3</f>
        <v>0</v>
      </c>
      <c r="AS67" s="13">
        <f>'4.1 Comptes 2023 natures'!AS67/'4.1 Comptes 2023 natures'!AS3</f>
        <v>50.549245283018863</v>
      </c>
      <c r="AT67" s="13">
        <f>'4.1 Comptes 2023 natures'!AT67/'4.1 Comptes 2023 natures'!AT3</f>
        <v>6.369426751592357</v>
      </c>
      <c r="AU67" s="13">
        <f>'4.1 Comptes 2023 natures'!AU67/'4.1 Comptes 2023 natures'!AU3</f>
        <v>55.682674276396249</v>
      </c>
      <c r="AV67" s="13">
        <f>'4.1 Comptes 2023 natures'!AV67/'4.1 Comptes 2023 natures'!AV3</f>
        <v>0</v>
      </c>
      <c r="AW67" s="13">
        <f>'4.1 Comptes 2023 natures'!AW67/'4.1 Comptes 2023 natures'!AW3</f>
        <v>0</v>
      </c>
      <c r="AX67" s="13">
        <f>'4.1 Comptes 2023 natures'!AX67/'4.1 Comptes 2023 natures'!AX3</f>
        <v>0</v>
      </c>
      <c r="AY67" s="13">
        <f>'4.1 Comptes 2023 natures'!AY67/'4.1 Comptes 2023 natures'!AY3</f>
        <v>61.494990892531874</v>
      </c>
      <c r="AZ67" s="13">
        <f>'4.1 Comptes 2023 natures'!AZ67/'4.1 Comptes 2023 natures'!AZ3</f>
        <v>0</v>
      </c>
      <c r="BA67" s="13">
        <f>'4.1 Comptes 2023 natures'!BA67/'4.1 Comptes 2023 natures'!BA3</f>
        <v>45.052459791863761</v>
      </c>
      <c r="BB67" s="13">
        <f>'4.1 Comptes 2023 natures'!BB67/'4.1 Comptes 2023 natures'!BB3</f>
        <v>0</v>
      </c>
      <c r="BC67" s="13">
        <f>'4.1 Comptes 2023 natures'!BC67/'4.1 Comptes 2023 natures'!BC3</f>
        <v>28.336380255941499</v>
      </c>
      <c r="BD67" s="13">
        <f>'4.1 Comptes 2023 natures'!BD67/'4.1 Comptes 2023 natures'!BD3</f>
        <v>42.309547405698346</v>
      </c>
      <c r="BE67" s="13">
        <f>'4.1 Comptes 2023 natures'!BE67/'4.1 Comptes 2023 natures'!BE3</f>
        <v>60.229921835602617</v>
      </c>
      <c r="BF67" s="13">
        <f>'4.1 Comptes 2023 natures'!BF67/'4.1 Comptes 2023 natures'!BF3</f>
        <v>19.003983477352577</v>
      </c>
      <c r="BG67" s="13">
        <f>'4.1 Comptes 2023 natures'!BG67/'4.1 Comptes 2023 natures'!BG3</f>
        <v>23.206572648519931</v>
      </c>
    </row>
    <row r="68" spans="1:59" x14ac:dyDescent="0.2">
      <c r="C68" s="8">
        <v>392</v>
      </c>
      <c r="D68" s="8" t="s">
        <v>127</v>
      </c>
      <c r="E68" s="13">
        <f>'4.1 Comptes 2023 natures'!E68/'4.1 Comptes 2023 natures'!E3</f>
        <v>0</v>
      </c>
      <c r="F68" s="13">
        <f>'4.1 Comptes 2023 natures'!F68/'4.1 Comptes 2023 natures'!F3</f>
        <v>0</v>
      </c>
      <c r="G68" s="13">
        <f>'4.1 Comptes 2023 natures'!G68/'4.1 Comptes 2023 natures'!G3</f>
        <v>0</v>
      </c>
      <c r="H68" s="13">
        <f>'4.1 Comptes 2023 natures'!H68/'4.1 Comptes 2023 natures'!H3</f>
        <v>0</v>
      </c>
      <c r="I68" s="13">
        <f>'4.1 Comptes 2023 natures'!I68/'4.1 Comptes 2023 natures'!I3</f>
        <v>0</v>
      </c>
      <c r="J68" s="13">
        <f>'4.1 Comptes 2023 natures'!J68/'4.1 Comptes 2023 natures'!J3</f>
        <v>0</v>
      </c>
      <c r="K68" s="13">
        <f>'4.1 Comptes 2023 natures'!K68/'4.1 Comptes 2023 natures'!K3</f>
        <v>0</v>
      </c>
      <c r="L68" s="13">
        <f>'4.1 Comptes 2023 natures'!L68/'4.1 Comptes 2023 natures'!L3</f>
        <v>9.4198916712457805</v>
      </c>
      <c r="M68" s="13">
        <f>'4.1 Comptes 2023 natures'!M68/'4.1 Comptes 2023 natures'!M3</f>
        <v>0</v>
      </c>
      <c r="N68" s="13">
        <f>'4.1 Comptes 2023 natures'!N68/'4.1 Comptes 2023 natures'!N3</f>
        <v>0</v>
      </c>
      <c r="O68" s="13">
        <f>'4.1 Comptes 2023 natures'!O68/'4.1 Comptes 2023 natures'!O3</f>
        <v>0</v>
      </c>
      <c r="P68" s="13">
        <f>'4.1 Comptes 2023 natures'!P68/'4.1 Comptes 2023 natures'!P3</f>
        <v>0</v>
      </c>
      <c r="Q68" s="13">
        <f>'4.1 Comptes 2023 natures'!Q68/'4.1 Comptes 2023 natures'!Q3</f>
        <v>0</v>
      </c>
      <c r="R68" s="13">
        <f>'4.1 Comptes 2023 natures'!R68/'4.1 Comptes 2023 natures'!R3</f>
        <v>0</v>
      </c>
      <c r="S68" s="13">
        <f>'4.1 Comptes 2023 natures'!S68/'4.1 Comptes 2023 natures'!S3</f>
        <v>0</v>
      </c>
      <c r="T68" s="13">
        <f>'4.1 Comptes 2023 natures'!T68/'4.1 Comptes 2023 natures'!T3</f>
        <v>0</v>
      </c>
      <c r="U68" s="13">
        <f>'4.1 Comptes 2023 natures'!U68/'4.1 Comptes 2023 natures'!U3</f>
        <v>0</v>
      </c>
      <c r="V68" s="13">
        <f>'4.1 Comptes 2023 natures'!V68/'4.1 Comptes 2023 natures'!V3</f>
        <v>0</v>
      </c>
      <c r="W68" s="13">
        <f>'4.1 Comptes 2023 natures'!W68/'4.1 Comptes 2023 natures'!W3</f>
        <v>0</v>
      </c>
      <c r="X68" s="13">
        <f>'4.1 Comptes 2023 natures'!X68/'4.1 Comptes 2023 natures'!X3</f>
        <v>0</v>
      </c>
      <c r="Y68" s="13">
        <f>'4.1 Comptes 2023 natures'!Y68/'4.1 Comptes 2023 natures'!Y3</f>
        <v>0</v>
      </c>
      <c r="Z68" s="13">
        <f>'4.1 Comptes 2023 natures'!Z68/'4.1 Comptes 2023 natures'!Z3</f>
        <v>51.157125456760049</v>
      </c>
      <c r="AA68" s="13">
        <f>'4.1 Comptes 2023 natures'!AA68/'4.1 Comptes 2023 natures'!AA3</f>
        <v>0</v>
      </c>
      <c r="AB68" s="13">
        <f>'4.1 Comptes 2023 natures'!AB68/'4.1 Comptes 2023 natures'!AB3</f>
        <v>0</v>
      </c>
      <c r="AC68" s="13">
        <f>'4.1 Comptes 2023 natures'!AC68/'4.1 Comptes 2023 natures'!AC3</f>
        <v>0</v>
      </c>
      <c r="AD68" s="13">
        <f>'4.1 Comptes 2023 natures'!AD68/'4.1 Comptes 2023 natures'!AD3</f>
        <v>0</v>
      </c>
      <c r="AE68" s="13">
        <f>'4.1 Comptes 2023 natures'!AE68/'4.1 Comptes 2023 natures'!AE3</f>
        <v>0</v>
      </c>
      <c r="AF68" s="13">
        <f>'4.1 Comptes 2023 natures'!AF68/'4.1 Comptes 2023 natures'!AF3</f>
        <v>0</v>
      </c>
      <c r="AG68" s="13">
        <f>'4.1 Comptes 2023 natures'!AG68/'4.1 Comptes 2023 natures'!AG3</f>
        <v>0</v>
      </c>
      <c r="AH68" s="13">
        <f>'4.1 Comptes 2023 natures'!AH68/'4.1 Comptes 2023 natures'!AH3</f>
        <v>0</v>
      </c>
      <c r="AI68" s="13">
        <f>'4.1 Comptes 2023 natures'!AI68/'4.1 Comptes 2023 natures'!AI3</f>
        <v>0</v>
      </c>
      <c r="AJ68" s="13">
        <f>'4.1 Comptes 2023 natures'!AJ68/'4.1 Comptes 2023 natures'!AJ3</f>
        <v>0</v>
      </c>
      <c r="AK68" s="13">
        <f>'4.1 Comptes 2023 natures'!AK68/'4.1 Comptes 2023 natures'!AK3</f>
        <v>0</v>
      </c>
      <c r="AL68" s="13">
        <f>'4.1 Comptes 2023 natures'!AL68/'4.1 Comptes 2023 natures'!AL3</f>
        <v>0</v>
      </c>
      <c r="AM68" s="13">
        <f>'4.1 Comptes 2023 natures'!AM68/'4.1 Comptes 2023 natures'!AM3</f>
        <v>0</v>
      </c>
      <c r="AN68" s="13">
        <f>'4.1 Comptes 2023 natures'!AN68/'4.1 Comptes 2023 natures'!AN3</f>
        <v>0</v>
      </c>
      <c r="AO68" s="13">
        <f>'4.1 Comptes 2023 natures'!AO68/'4.1 Comptes 2023 natures'!AO3</f>
        <v>0</v>
      </c>
      <c r="AP68" s="13">
        <f>'4.1 Comptes 2023 natures'!AP68/'4.1 Comptes 2023 natures'!AP3</f>
        <v>0</v>
      </c>
      <c r="AQ68" s="13">
        <f>'4.1 Comptes 2023 natures'!AQ68/'4.1 Comptes 2023 natures'!AQ3</f>
        <v>0</v>
      </c>
      <c r="AR68" s="13">
        <f>'4.1 Comptes 2023 natures'!AR68/'4.1 Comptes 2023 natures'!AR3</f>
        <v>0</v>
      </c>
      <c r="AS68" s="13">
        <f>'4.1 Comptes 2023 natures'!AS68/'4.1 Comptes 2023 natures'!AS3</f>
        <v>0</v>
      </c>
      <c r="AT68" s="13">
        <f>'4.1 Comptes 2023 natures'!AT68/'4.1 Comptes 2023 natures'!AT3</f>
        <v>0</v>
      </c>
      <c r="AU68" s="13">
        <f>'4.1 Comptes 2023 natures'!AU68/'4.1 Comptes 2023 natures'!AU3</f>
        <v>0</v>
      </c>
      <c r="AV68" s="13">
        <f>'4.1 Comptes 2023 natures'!AV68/'4.1 Comptes 2023 natures'!AV3</f>
        <v>0</v>
      </c>
      <c r="AW68" s="13">
        <f>'4.1 Comptes 2023 natures'!AW68/'4.1 Comptes 2023 natures'!AW3</f>
        <v>0</v>
      </c>
      <c r="AX68" s="13">
        <f>'4.1 Comptes 2023 natures'!AX68/'4.1 Comptes 2023 natures'!AX3</f>
        <v>0</v>
      </c>
      <c r="AY68" s="13">
        <f>'4.1 Comptes 2023 natures'!AY68/'4.1 Comptes 2023 natures'!AY3</f>
        <v>0</v>
      </c>
      <c r="AZ68" s="13">
        <f>'4.1 Comptes 2023 natures'!AZ68/'4.1 Comptes 2023 natures'!AZ3</f>
        <v>0</v>
      </c>
      <c r="BA68" s="13">
        <f>'4.1 Comptes 2023 natures'!BA68/'4.1 Comptes 2023 natures'!BA3</f>
        <v>0</v>
      </c>
      <c r="BB68" s="13">
        <f>'4.1 Comptes 2023 natures'!BB68/'4.1 Comptes 2023 natures'!BB3</f>
        <v>0</v>
      </c>
      <c r="BC68" s="13">
        <f>'4.1 Comptes 2023 natures'!BC68/'4.1 Comptes 2023 natures'!BC3</f>
        <v>0</v>
      </c>
      <c r="BD68" s="13">
        <f>'4.1 Comptes 2023 natures'!BD68/'4.1 Comptes 2023 natures'!BD3</f>
        <v>2.7364919246659869</v>
      </c>
      <c r="BE68" s="13">
        <f>'4.1 Comptes 2023 natures'!BE68/'4.1 Comptes 2023 natures'!BE3</f>
        <v>3.02571860816944</v>
      </c>
      <c r="BF68" s="13">
        <f>'4.1 Comptes 2023 natures'!BF68/'4.1 Comptes 2023 natures'!BF3</f>
        <v>7.9764504795366058</v>
      </c>
      <c r="BG68" s="13">
        <f>'4.1 Comptes 2023 natures'!BG68/'4.1 Comptes 2023 natures'!BG3</f>
        <v>0</v>
      </c>
    </row>
    <row r="69" spans="1:59" x14ac:dyDescent="0.2">
      <c r="C69" s="8">
        <v>393</v>
      </c>
      <c r="D69" s="8" t="s">
        <v>128</v>
      </c>
      <c r="E69" s="13">
        <f>'4.1 Comptes 2023 natures'!E69/'4.1 Comptes 2023 natures'!E3</f>
        <v>0</v>
      </c>
      <c r="F69" s="13">
        <f>'4.1 Comptes 2023 natures'!F69/'4.1 Comptes 2023 natures'!F3</f>
        <v>0</v>
      </c>
      <c r="G69" s="13">
        <f>'4.1 Comptes 2023 natures'!G69/'4.1 Comptes 2023 natures'!G3</f>
        <v>3.9073886639676112</v>
      </c>
      <c r="H69" s="13">
        <f>'4.1 Comptes 2023 natures'!H69/'4.1 Comptes 2023 natures'!H3</f>
        <v>0</v>
      </c>
      <c r="I69" s="13">
        <f>'4.1 Comptes 2023 natures'!I69/'4.1 Comptes 2023 natures'!I3</f>
        <v>0</v>
      </c>
      <c r="J69" s="13">
        <f>'4.1 Comptes 2023 natures'!J69/'4.1 Comptes 2023 natures'!J3</f>
        <v>0</v>
      </c>
      <c r="K69" s="13">
        <f>'4.1 Comptes 2023 natures'!K69/'4.1 Comptes 2023 natures'!K3</f>
        <v>5.5264317180616738</v>
      </c>
      <c r="L69" s="13">
        <f>'4.1 Comptes 2023 natures'!L69/'4.1 Comptes 2023 natures'!L3</f>
        <v>0</v>
      </c>
      <c r="M69" s="13">
        <f>'4.1 Comptes 2023 natures'!M69/'4.1 Comptes 2023 natures'!M3</f>
        <v>0</v>
      </c>
      <c r="N69" s="13">
        <f>'4.1 Comptes 2023 natures'!N69/'4.1 Comptes 2023 natures'!N3</f>
        <v>0</v>
      </c>
      <c r="O69" s="13">
        <f>'4.1 Comptes 2023 natures'!O69/'4.1 Comptes 2023 natures'!O3</f>
        <v>0</v>
      </c>
      <c r="P69" s="13">
        <f>'4.1 Comptes 2023 natures'!P69/'4.1 Comptes 2023 natures'!P3</f>
        <v>0</v>
      </c>
      <c r="Q69" s="13">
        <f>'4.1 Comptes 2023 natures'!Q69/'4.1 Comptes 2023 natures'!Q3</f>
        <v>0</v>
      </c>
      <c r="R69" s="13">
        <f>'4.1 Comptes 2023 natures'!R69/'4.1 Comptes 2023 natures'!R3</f>
        <v>0</v>
      </c>
      <c r="S69" s="13">
        <f>'4.1 Comptes 2023 natures'!S69/'4.1 Comptes 2023 natures'!S3</f>
        <v>0</v>
      </c>
      <c r="T69" s="13">
        <f>'4.1 Comptes 2023 natures'!T69/'4.1 Comptes 2023 natures'!T3</f>
        <v>0</v>
      </c>
      <c r="U69" s="13">
        <f>'4.1 Comptes 2023 natures'!U69/'4.1 Comptes 2023 natures'!U3</f>
        <v>0</v>
      </c>
      <c r="V69" s="13">
        <f>'4.1 Comptes 2023 natures'!V69/'4.1 Comptes 2023 natures'!V3</f>
        <v>0</v>
      </c>
      <c r="W69" s="13">
        <f>'4.1 Comptes 2023 natures'!W69/'4.1 Comptes 2023 natures'!W3</f>
        <v>1.8354236769654328</v>
      </c>
      <c r="X69" s="13">
        <f>'4.1 Comptes 2023 natures'!X69/'4.1 Comptes 2023 natures'!X3</f>
        <v>0</v>
      </c>
      <c r="Y69" s="13">
        <f>'4.1 Comptes 2023 natures'!Y69/'4.1 Comptes 2023 natures'!Y3</f>
        <v>0</v>
      </c>
      <c r="Z69" s="13">
        <f>'4.1 Comptes 2023 natures'!Z69/'4.1 Comptes 2023 natures'!Z3</f>
        <v>0</v>
      </c>
      <c r="AA69" s="13">
        <f>'4.1 Comptes 2023 natures'!AA69/'4.1 Comptes 2023 natures'!AA3</f>
        <v>0</v>
      </c>
      <c r="AB69" s="13">
        <f>'4.1 Comptes 2023 natures'!AB69/'4.1 Comptes 2023 natures'!AB3</f>
        <v>0</v>
      </c>
      <c r="AC69" s="13">
        <f>'4.1 Comptes 2023 natures'!AC69/'4.1 Comptes 2023 natures'!AC3</f>
        <v>0</v>
      </c>
      <c r="AD69" s="13">
        <f>'4.1 Comptes 2023 natures'!AD69/'4.1 Comptes 2023 natures'!AD3</f>
        <v>0</v>
      </c>
      <c r="AE69" s="13">
        <f>'4.1 Comptes 2023 natures'!AE69/'4.1 Comptes 2023 natures'!AE3</f>
        <v>0</v>
      </c>
      <c r="AF69" s="13">
        <f>'4.1 Comptes 2023 natures'!AF69/'4.1 Comptes 2023 natures'!AF3</f>
        <v>0</v>
      </c>
      <c r="AG69" s="13">
        <f>'4.1 Comptes 2023 natures'!AG69/'4.1 Comptes 2023 natures'!AG3</f>
        <v>0</v>
      </c>
      <c r="AH69" s="13">
        <f>'4.1 Comptes 2023 natures'!AH69/'4.1 Comptes 2023 natures'!AH3</f>
        <v>0</v>
      </c>
      <c r="AI69" s="13">
        <f>'4.1 Comptes 2023 natures'!AI69/'4.1 Comptes 2023 natures'!AI3</f>
        <v>0</v>
      </c>
      <c r="AJ69" s="13">
        <f>'4.1 Comptes 2023 natures'!AJ69/'4.1 Comptes 2023 natures'!AJ3</f>
        <v>0</v>
      </c>
      <c r="AK69" s="13">
        <f>'4.1 Comptes 2023 natures'!AK69/'4.1 Comptes 2023 natures'!AK3</f>
        <v>0</v>
      </c>
      <c r="AL69" s="13">
        <f>'4.1 Comptes 2023 natures'!AL69/'4.1 Comptes 2023 natures'!AL3</f>
        <v>0</v>
      </c>
      <c r="AM69" s="13">
        <f>'4.1 Comptes 2023 natures'!AM69/'4.1 Comptes 2023 natures'!AM3</f>
        <v>0</v>
      </c>
      <c r="AN69" s="13">
        <f>'4.1 Comptes 2023 natures'!AN69/'4.1 Comptes 2023 natures'!AN3</f>
        <v>0</v>
      </c>
      <c r="AO69" s="13">
        <f>'4.1 Comptes 2023 natures'!AO69/'4.1 Comptes 2023 natures'!AO3</f>
        <v>0</v>
      </c>
      <c r="AP69" s="13">
        <f>'4.1 Comptes 2023 natures'!AP69/'4.1 Comptes 2023 natures'!AP3</f>
        <v>0</v>
      </c>
      <c r="AQ69" s="13">
        <f>'4.1 Comptes 2023 natures'!AQ69/'4.1 Comptes 2023 natures'!AQ3</f>
        <v>0</v>
      </c>
      <c r="AR69" s="13">
        <f>'4.1 Comptes 2023 natures'!AR69/'4.1 Comptes 2023 natures'!AR3</f>
        <v>1.3869625520110958</v>
      </c>
      <c r="AS69" s="13">
        <f>'4.1 Comptes 2023 natures'!AS69/'4.1 Comptes 2023 natures'!AS3</f>
        <v>0</v>
      </c>
      <c r="AT69" s="13">
        <f>'4.1 Comptes 2023 natures'!AT69/'4.1 Comptes 2023 natures'!AT3</f>
        <v>0</v>
      </c>
      <c r="AU69" s="13">
        <f>'4.1 Comptes 2023 natures'!AU69/'4.1 Comptes 2023 natures'!AU3</f>
        <v>0</v>
      </c>
      <c r="AV69" s="13">
        <f>'4.1 Comptes 2023 natures'!AV69/'4.1 Comptes 2023 natures'!AV3</f>
        <v>0</v>
      </c>
      <c r="AW69" s="13">
        <f>'4.1 Comptes 2023 natures'!AW69/'4.1 Comptes 2023 natures'!AW3</f>
        <v>0</v>
      </c>
      <c r="AX69" s="13">
        <f>'4.1 Comptes 2023 natures'!AX69/'4.1 Comptes 2023 natures'!AX3</f>
        <v>0</v>
      </c>
      <c r="AY69" s="13">
        <f>'4.1 Comptes 2023 natures'!AY69/'4.1 Comptes 2023 natures'!AY3</f>
        <v>0</v>
      </c>
      <c r="AZ69" s="13">
        <f>'4.1 Comptes 2023 natures'!AZ69/'4.1 Comptes 2023 natures'!AZ3</f>
        <v>0</v>
      </c>
      <c r="BA69" s="13">
        <f>'4.1 Comptes 2023 natures'!BA69/'4.1 Comptes 2023 natures'!BA3</f>
        <v>0</v>
      </c>
      <c r="BB69" s="13">
        <f>'4.1 Comptes 2023 natures'!BB69/'4.1 Comptes 2023 natures'!BB3</f>
        <v>0</v>
      </c>
      <c r="BC69" s="13">
        <f>'4.1 Comptes 2023 natures'!BC69/'4.1 Comptes 2023 natures'!BC3</f>
        <v>0</v>
      </c>
      <c r="BD69" s="13">
        <f>'4.1 Comptes 2023 natures'!BD69/'4.1 Comptes 2023 natures'!BD3</f>
        <v>0.32172895315769706</v>
      </c>
      <c r="BE69" s="13">
        <f>'4.1 Comptes 2023 natures'!BE69/'4.1 Comptes 2023 natures'!BE3</f>
        <v>0.57953227433182053</v>
      </c>
      <c r="BF69" s="13">
        <f>'4.1 Comptes 2023 natures'!BF69/'4.1 Comptes 2023 natures'!BF3</f>
        <v>0</v>
      </c>
      <c r="BG69" s="13">
        <f>'4.1 Comptes 2023 natures'!BG69/'4.1 Comptes 2023 natures'!BG3</f>
        <v>4.1055959272488403E-2</v>
      </c>
    </row>
    <row r="70" spans="1:59" x14ac:dyDescent="0.2">
      <c r="C70" s="8">
        <v>394</v>
      </c>
      <c r="D70" s="8" t="s">
        <v>129</v>
      </c>
      <c r="E70" s="13">
        <f>'4.1 Comptes 2023 natures'!E70/'4.1 Comptes 2023 natures'!E3</f>
        <v>0</v>
      </c>
      <c r="F70" s="13">
        <f>'4.1 Comptes 2023 natures'!F70/'4.1 Comptes 2023 natures'!F3</f>
        <v>84.149080459770119</v>
      </c>
      <c r="G70" s="13">
        <f>'4.1 Comptes 2023 natures'!G70/'4.1 Comptes 2023 natures'!G3</f>
        <v>0</v>
      </c>
      <c r="H70" s="13">
        <f>'4.1 Comptes 2023 natures'!H70/'4.1 Comptes 2023 natures'!H3</f>
        <v>0</v>
      </c>
      <c r="I70" s="13">
        <f>'4.1 Comptes 2023 natures'!I70/'4.1 Comptes 2023 natures'!I3</f>
        <v>84.796836651213525</v>
      </c>
      <c r="J70" s="13">
        <f>'4.1 Comptes 2023 natures'!J70/'4.1 Comptes 2023 natures'!J3</f>
        <v>0</v>
      </c>
      <c r="K70" s="13">
        <f>'4.1 Comptes 2023 natures'!K70/'4.1 Comptes 2023 natures'!K3</f>
        <v>28.323091042584437</v>
      </c>
      <c r="L70" s="13">
        <f>'4.1 Comptes 2023 natures'!L70/'4.1 Comptes 2023 natures'!L3</f>
        <v>64.446345867022529</v>
      </c>
      <c r="M70" s="13">
        <f>'4.1 Comptes 2023 natures'!M70/'4.1 Comptes 2023 natures'!M3</f>
        <v>22.767062682215744</v>
      </c>
      <c r="N70" s="13">
        <f>'4.1 Comptes 2023 natures'!N70/'4.1 Comptes 2023 natures'!N3</f>
        <v>0</v>
      </c>
      <c r="O70" s="13">
        <f>'4.1 Comptes 2023 natures'!O70/'4.1 Comptes 2023 natures'!O3</f>
        <v>0</v>
      </c>
      <c r="P70" s="13">
        <f>'4.1 Comptes 2023 natures'!P70/'4.1 Comptes 2023 natures'!P3</f>
        <v>0</v>
      </c>
      <c r="Q70" s="13">
        <f>'4.1 Comptes 2023 natures'!Q70/'4.1 Comptes 2023 natures'!Q3</f>
        <v>0</v>
      </c>
      <c r="R70" s="13">
        <f>'4.1 Comptes 2023 natures'!R70/'4.1 Comptes 2023 natures'!R3</f>
        <v>0</v>
      </c>
      <c r="S70" s="13">
        <f>'4.1 Comptes 2023 natures'!S70/'4.1 Comptes 2023 natures'!S3</f>
        <v>0</v>
      </c>
      <c r="T70" s="13">
        <f>'4.1 Comptes 2023 natures'!T70/'4.1 Comptes 2023 natures'!T3</f>
        <v>0</v>
      </c>
      <c r="U70" s="13">
        <f>'4.1 Comptes 2023 natures'!U70/'4.1 Comptes 2023 natures'!U3</f>
        <v>0</v>
      </c>
      <c r="V70" s="13">
        <f>'4.1 Comptes 2023 natures'!V70/'4.1 Comptes 2023 natures'!V3</f>
        <v>0</v>
      </c>
      <c r="W70" s="13">
        <f>'4.1 Comptes 2023 natures'!W70/'4.1 Comptes 2023 natures'!W3</f>
        <v>0</v>
      </c>
      <c r="X70" s="13">
        <f>'4.1 Comptes 2023 natures'!X70/'4.1 Comptes 2023 natures'!X3</f>
        <v>0</v>
      </c>
      <c r="Y70" s="13">
        <f>'4.1 Comptes 2023 natures'!Y70/'4.1 Comptes 2023 natures'!Y3</f>
        <v>0</v>
      </c>
      <c r="Z70" s="13">
        <f>'4.1 Comptes 2023 natures'!Z70/'4.1 Comptes 2023 natures'!Z3</f>
        <v>0</v>
      </c>
      <c r="AA70" s="13">
        <f>'4.1 Comptes 2023 natures'!AA70/'4.1 Comptes 2023 natures'!AA3</f>
        <v>0</v>
      </c>
      <c r="AB70" s="13">
        <f>'4.1 Comptes 2023 natures'!AB70/'4.1 Comptes 2023 natures'!AB3</f>
        <v>0</v>
      </c>
      <c r="AC70" s="13">
        <f>'4.1 Comptes 2023 natures'!AC70/'4.1 Comptes 2023 natures'!AC3</f>
        <v>0</v>
      </c>
      <c r="AD70" s="13">
        <f>'4.1 Comptes 2023 natures'!AD70/'4.1 Comptes 2023 natures'!AD3</f>
        <v>0</v>
      </c>
      <c r="AE70" s="13">
        <f>'4.1 Comptes 2023 natures'!AE70/'4.1 Comptes 2023 natures'!AE3</f>
        <v>0</v>
      </c>
      <c r="AF70" s="13">
        <f>'4.1 Comptes 2023 natures'!AF70/'4.1 Comptes 2023 natures'!AF3</f>
        <v>0</v>
      </c>
      <c r="AG70" s="13">
        <f>'4.1 Comptes 2023 natures'!AG70/'4.1 Comptes 2023 natures'!AG3</f>
        <v>0</v>
      </c>
      <c r="AH70" s="13">
        <f>'4.1 Comptes 2023 natures'!AH70/'4.1 Comptes 2023 natures'!AH3</f>
        <v>0</v>
      </c>
      <c r="AI70" s="13">
        <f>'4.1 Comptes 2023 natures'!AI70/'4.1 Comptes 2023 natures'!AI3</f>
        <v>0</v>
      </c>
      <c r="AJ70" s="13">
        <f>'4.1 Comptes 2023 natures'!AJ70/'4.1 Comptes 2023 natures'!AJ3</f>
        <v>0</v>
      </c>
      <c r="AK70" s="13">
        <f>'4.1 Comptes 2023 natures'!AK70/'4.1 Comptes 2023 natures'!AK3</f>
        <v>49.600396825396821</v>
      </c>
      <c r="AL70" s="13">
        <f>'4.1 Comptes 2023 natures'!AL70/'4.1 Comptes 2023 natures'!AL3</f>
        <v>0</v>
      </c>
      <c r="AM70" s="13">
        <f>'4.1 Comptes 2023 natures'!AM70/'4.1 Comptes 2023 natures'!AM3</f>
        <v>0</v>
      </c>
      <c r="AN70" s="13">
        <f>'4.1 Comptes 2023 natures'!AN70/'4.1 Comptes 2023 natures'!AN3</f>
        <v>0</v>
      </c>
      <c r="AO70" s="13">
        <f>'4.1 Comptes 2023 natures'!AO70/'4.1 Comptes 2023 natures'!AO3</f>
        <v>52.07351145038168</v>
      </c>
      <c r="AP70" s="13">
        <f>'4.1 Comptes 2023 natures'!AP70/'4.1 Comptes 2023 natures'!AP3</f>
        <v>0</v>
      </c>
      <c r="AQ70" s="13">
        <f>'4.1 Comptes 2023 natures'!AQ70/'4.1 Comptes 2023 natures'!AQ3</f>
        <v>0</v>
      </c>
      <c r="AR70" s="13">
        <f>'4.1 Comptes 2023 natures'!AR70/'4.1 Comptes 2023 natures'!AR3</f>
        <v>69.230748959778083</v>
      </c>
      <c r="AS70" s="13">
        <f>'4.1 Comptes 2023 natures'!AS70/'4.1 Comptes 2023 natures'!AS3</f>
        <v>0</v>
      </c>
      <c r="AT70" s="13">
        <f>'4.1 Comptes 2023 natures'!AT70/'4.1 Comptes 2023 natures'!AT3</f>
        <v>0</v>
      </c>
      <c r="AU70" s="13">
        <f>'4.1 Comptes 2023 natures'!AU70/'4.1 Comptes 2023 natures'!AU3</f>
        <v>0</v>
      </c>
      <c r="AV70" s="13">
        <f>'4.1 Comptes 2023 natures'!AV70/'4.1 Comptes 2023 natures'!AV3</f>
        <v>0</v>
      </c>
      <c r="AW70" s="13">
        <f>'4.1 Comptes 2023 natures'!AW70/'4.1 Comptes 2023 natures'!AW3</f>
        <v>20.715289256198346</v>
      </c>
      <c r="AX70" s="13">
        <f>'4.1 Comptes 2023 natures'!AX70/'4.1 Comptes 2023 natures'!AX3</f>
        <v>0</v>
      </c>
      <c r="AY70" s="13">
        <f>'4.1 Comptes 2023 natures'!AY70/'4.1 Comptes 2023 natures'!AY3</f>
        <v>0</v>
      </c>
      <c r="AZ70" s="13">
        <f>'4.1 Comptes 2023 natures'!AZ70/'4.1 Comptes 2023 natures'!AZ3</f>
        <v>0</v>
      </c>
      <c r="BA70" s="13">
        <f>'4.1 Comptes 2023 natures'!BA70/'4.1 Comptes 2023 natures'!BA3</f>
        <v>0</v>
      </c>
      <c r="BB70" s="13">
        <f>'4.1 Comptes 2023 natures'!BB70/'4.1 Comptes 2023 natures'!BB3</f>
        <v>0</v>
      </c>
      <c r="BC70" s="13">
        <f>'4.1 Comptes 2023 natures'!BC70/'4.1 Comptes 2023 natures'!BC3</f>
        <v>0</v>
      </c>
      <c r="BD70" s="13">
        <f>'4.1 Comptes 2023 natures'!BD70/'4.1 Comptes 2023 natures'!BD3</f>
        <v>18.91497343993132</v>
      </c>
      <c r="BE70" s="13">
        <f>'4.1 Comptes 2023 natures'!BE70/'4.1 Comptes 2023 natures'!BE3</f>
        <v>31.827620272314672</v>
      </c>
      <c r="BF70" s="13">
        <f>'4.1 Comptes 2023 natures'!BF70/'4.1 Comptes 2023 natures'!BF3</f>
        <v>0</v>
      </c>
      <c r="BG70" s="13">
        <f>'4.1 Comptes 2023 natures'!BG70/'4.1 Comptes 2023 natures'!BG3</f>
        <v>6.0676610420002461</v>
      </c>
    </row>
    <row r="71" spans="1:59" x14ac:dyDescent="0.2">
      <c r="C71" s="8">
        <v>395</v>
      </c>
      <c r="D71" s="8" t="s">
        <v>130</v>
      </c>
      <c r="E71" s="13">
        <f>'4.1 Comptes 2023 natures'!E71/'4.1 Comptes 2023 natures'!E3</f>
        <v>0</v>
      </c>
      <c r="F71" s="13">
        <f>'4.1 Comptes 2023 natures'!F71/'4.1 Comptes 2023 natures'!F3</f>
        <v>0</v>
      </c>
      <c r="G71" s="13">
        <f>'4.1 Comptes 2023 natures'!G71/'4.1 Comptes 2023 natures'!G3</f>
        <v>0</v>
      </c>
      <c r="H71" s="13">
        <f>'4.1 Comptes 2023 natures'!H71/'4.1 Comptes 2023 natures'!H3</f>
        <v>0.8</v>
      </c>
      <c r="I71" s="13">
        <f>'4.1 Comptes 2023 natures'!I71/'4.1 Comptes 2023 natures'!I3</f>
        <v>0</v>
      </c>
      <c r="J71" s="13">
        <f>'4.1 Comptes 2023 natures'!J71/'4.1 Comptes 2023 natures'!J3</f>
        <v>0</v>
      </c>
      <c r="K71" s="13">
        <f>'4.1 Comptes 2023 natures'!K71/'4.1 Comptes 2023 natures'!K3</f>
        <v>0</v>
      </c>
      <c r="L71" s="13">
        <f>'4.1 Comptes 2023 natures'!L71/'4.1 Comptes 2023 natures'!L3</f>
        <v>0</v>
      </c>
      <c r="M71" s="13">
        <f>'4.1 Comptes 2023 natures'!M71/'4.1 Comptes 2023 natures'!M3</f>
        <v>0</v>
      </c>
      <c r="N71" s="13">
        <f>'4.1 Comptes 2023 natures'!N71/'4.1 Comptes 2023 natures'!N3</f>
        <v>0</v>
      </c>
      <c r="O71" s="13">
        <f>'4.1 Comptes 2023 natures'!O71/'4.1 Comptes 2023 natures'!O3</f>
        <v>0</v>
      </c>
      <c r="P71" s="13">
        <f>'4.1 Comptes 2023 natures'!P71/'4.1 Comptes 2023 natures'!P3</f>
        <v>0</v>
      </c>
      <c r="Q71" s="13">
        <f>'4.1 Comptes 2023 natures'!Q71/'4.1 Comptes 2023 natures'!Q3</f>
        <v>0</v>
      </c>
      <c r="R71" s="13">
        <f>'4.1 Comptes 2023 natures'!R71/'4.1 Comptes 2023 natures'!R3</f>
        <v>0</v>
      </c>
      <c r="S71" s="13">
        <f>'4.1 Comptes 2023 natures'!S71/'4.1 Comptes 2023 natures'!S3</f>
        <v>0</v>
      </c>
      <c r="T71" s="13">
        <f>'4.1 Comptes 2023 natures'!T71/'4.1 Comptes 2023 natures'!T3</f>
        <v>0</v>
      </c>
      <c r="U71" s="13">
        <f>'4.1 Comptes 2023 natures'!U71/'4.1 Comptes 2023 natures'!U3</f>
        <v>0</v>
      </c>
      <c r="V71" s="13">
        <f>'4.1 Comptes 2023 natures'!V71/'4.1 Comptes 2023 natures'!V3</f>
        <v>0</v>
      </c>
      <c r="W71" s="13">
        <f>'4.1 Comptes 2023 natures'!W71/'4.1 Comptes 2023 natures'!W3</f>
        <v>0</v>
      </c>
      <c r="X71" s="13">
        <f>'4.1 Comptes 2023 natures'!X71/'4.1 Comptes 2023 natures'!X3</f>
        <v>0</v>
      </c>
      <c r="Y71" s="13">
        <f>'4.1 Comptes 2023 natures'!Y71/'4.1 Comptes 2023 natures'!Y3</f>
        <v>0</v>
      </c>
      <c r="Z71" s="13">
        <f>'4.1 Comptes 2023 natures'!Z71/'4.1 Comptes 2023 natures'!Z3</f>
        <v>0</v>
      </c>
      <c r="AA71" s="13">
        <f>'4.1 Comptes 2023 natures'!AA71/'4.1 Comptes 2023 natures'!AA3</f>
        <v>0</v>
      </c>
      <c r="AB71" s="13">
        <f>'4.1 Comptes 2023 natures'!AB71/'4.1 Comptes 2023 natures'!AB3</f>
        <v>0</v>
      </c>
      <c r="AC71" s="13">
        <f>'4.1 Comptes 2023 natures'!AC71/'4.1 Comptes 2023 natures'!AC3</f>
        <v>0</v>
      </c>
      <c r="AD71" s="13">
        <f>'4.1 Comptes 2023 natures'!AD71/'4.1 Comptes 2023 natures'!AD3</f>
        <v>0</v>
      </c>
      <c r="AE71" s="13">
        <f>'4.1 Comptes 2023 natures'!AE71/'4.1 Comptes 2023 natures'!AE3</f>
        <v>0</v>
      </c>
      <c r="AF71" s="13">
        <f>'4.1 Comptes 2023 natures'!AF71/'4.1 Comptes 2023 natures'!AF3</f>
        <v>0</v>
      </c>
      <c r="AG71" s="13">
        <f>'4.1 Comptes 2023 natures'!AG71/'4.1 Comptes 2023 natures'!AG3</f>
        <v>0</v>
      </c>
      <c r="AH71" s="13">
        <f>'4.1 Comptes 2023 natures'!AH71/'4.1 Comptes 2023 natures'!AH3</f>
        <v>0</v>
      </c>
      <c r="AI71" s="13">
        <f>'4.1 Comptes 2023 natures'!AI71/'4.1 Comptes 2023 natures'!AI3</f>
        <v>0</v>
      </c>
      <c r="AJ71" s="13">
        <f>'4.1 Comptes 2023 natures'!AJ71/'4.1 Comptes 2023 natures'!AJ3</f>
        <v>0</v>
      </c>
      <c r="AK71" s="13">
        <f>'4.1 Comptes 2023 natures'!AK71/'4.1 Comptes 2023 natures'!AK3</f>
        <v>0</v>
      </c>
      <c r="AL71" s="13">
        <f>'4.1 Comptes 2023 natures'!AL71/'4.1 Comptes 2023 natures'!AL3</f>
        <v>0</v>
      </c>
      <c r="AM71" s="13">
        <f>'4.1 Comptes 2023 natures'!AM71/'4.1 Comptes 2023 natures'!AM3</f>
        <v>0</v>
      </c>
      <c r="AN71" s="13">
        <f>'4.1 Comptes 2023 natures'!AN71/'4.1 Comptes 2023 natures'!AN3</f>
        <v>0</v>
      </c>
      <c r="AO71" s="13">
        <f>'4.1 Comptes 2023 natures'!AO71/'4.1 Comptes 2023 natures'!AO3</f>
        <v>0</v>
      </c>
      <c r="AP71" s="13">
        <f>'4.1 Comptes 2023 natures'!AP71/'4.1 Comptes 2023 natures'!AP3</f>
        <v>0</v>
      </c>
      <c r="AQ71" s="13">
        <f>'4.1 Comptes 2023 natures'!AQ71/'4.1 Comptes 2023 natures'!AQ3</f>
        <v>0</v>
      </c>
      <c r="AR71" s="13">
        <f>'4.1 Comptes 2023 natures'!AR71/'4.1 Comptes 2023 natures'!AR3</f>
        <v>0</v>
      </c>
      <c r="AS71" s="13">
        <f>'4.1 Comptes 2023 natures'!AS71/'4.1 Comptes 2023 natures'!AS3</f>
        <v>0</v>
      </c>
      <c r="AT71" s="13">
        <f>'4.1 Comptes 2023 natures'!AT71/'4.1 Comptes 2023 natures'!AT3</f>
        <v>0</v>
      </c>
      <c r="AU71" s="13">
        <f>'4.1 Comptes 2023 natures'!AU71/'4.1 Comptes 2023 natures'!AU3</f>
        <v>0</v>
      </c>
      <c r="AV71" s="13">
        <f>'4.1 Comptes 2023 natures'!AV71/'4.1 Comptes 2023 natures'!AV3</f>
        <v>0</v>
      </c>
      <c r="AW71" s="13">
        <f>'4.1 Comptes 2023 natures'!AW71/'4.1 Comptes 2023 natures'!AW3</f>
        <v>0</v>
      </c>
      <c r="AX71" s="13">
        <f>'4.1 Comptes 2023 natures'!AX71/'4.1 Comptes 2023 natures'!AX3</f>
        <v>0</v>
      </c>
      <c r="AY71" s="13">
        <f>'4.1 Comptes 2023 natures'!AY71/'4.1 Comptes 2023 natures'!AY3</f>
        <v>0</v>
      </c>
      <c r="AZ71" s="13">
        <f>'4.1 Comptes 2023 natures'!AZ71/'4.1 Comptes 2023 natures'!AZ3</f>
        <v>0</v>
      </c>
      <c r="BA71" s="13">
        <f>'4.1 Comptes 2023 natures'!BA71/'4.1 Comptes 2023 natures'!BA3</f>
        <v>0</v>
      </c>
      <c r="BB71" s="13">
        <f>'4.1 Comptes 2023 natures'!BB71/'4.1 Comptes 2023 natures'!BB3</f>
        <v>0</v>
      </c>
      <c r="BC71" s="13">
        <f>'4.1 Comptes 2023 natures'!BC71/'4.1 Comptes 2023 natures'!BC3</f>
        <v>0</v>
      </c>
      <c r="BD71" s="13">
        <f>'4.1 Comptes 2023 natures'!BD71/'4.1 Comptes 2023 natures'!BD3</f>
        <v>4.7754466920641734E-3</v>
      </c>
      <c r="BE71" s="13">
        <f>'4.1 Comptes 2023 natures'!BE71/'4.1 Comptes 2023 natures'!BE3</f>
        <v>8.9762985375693386E-3</v>
      </c>
      <c r="BF71" s="13">
        <f>'4.1 Comptes 2023 natures'!BF71/'4.1 Comptes 2023 natures'!BF3</f>
        <v>0</v>
      </c>
      <c r="BG71" s="13">
        <f>'4.1 Comptes 2023 natures'!BG71/'4.1 Comptes 2023 natures'!BG3</f>
        <v>0</v>
      </c>
    </row>
    <row r="72" spans="1:59" x14ac:dyDescent="0.2">
      <c r="C72" s="8">
        <v>398</v>
      </c>
      <c r="D72" s="8" t="s">
        <v>131</v>
      </c>
      <c r="E72" s="13">
        <f>'4.1 Comptes 2023 natures'!E72/'4.1 Comptes 2023 natures'!E3</f>
        <v>0</v>
      </c>
      <c r="F72" s="13">
        <f>'4.1 Comptes 2023 natures'!F72/'4.1 Comptes 2023 natures'!F3</f>
        <v>0</v>
      </c>
      <c r="G72" s="13">
        <f>'4.1 Comptes 2023 natures'!G72/'4.1 Comptes 2023 natures'!G3</f>
        <v>0</v>
      </c>
      <c r="H72" s="13">
        <f>'4.1 Comptes 2023 natures'!H72/'4.1 Comptes 2023 natures'!H3</f>
        <v>0</v>
      </c>
      <c r="I72" s="13">
        <f>'4.1 Comptes 2023 natures'!I72/'4.1 Comptes 2023 natures'!I3</f>
        <v>0</v>
      </c>
      <c r="J72" s="13">
        <f>'4.1 Comptes 2023 natures'!J72/'4.1 Comptes 2023 natures'!J3</f>
        <v>0</v>
      </c>
      <c r="K72" s="13">
        <f>'4.1 Comptes 2023 natures'!K72/'4.1 Comptes 2023 natures'!K3</f>
        <v>0</v>
      </c>
      <c r="L72" s="13">
        <f>'4.1 Comptes 2023 natures'!L72/'4.1 Comptes 2023 natures'!L3</f>
        <v>189.73663788366432</v>
      </c>
      <c r="M72" s="13">
        <f>'4.1 Comptes 2023 natures'!M72/'4.1 Comptes 2023 natures'!M3</f>
        <v>0</v>
      </c>
      <c r="N72" s="13">
        <f>'4.1 Comptes 2023 natures'!N72/'4.1 Comptes 2023 natures'!N3</f>
        <v>0</v>
      </c>
      <c r="O72" s="13">
        <f>'4.1 Comptes 2023 natures'!O72/'4.1 Comptes 2023 natures'!O3</f>
        <v>0</v>
      </c>
      <c r="P72" s="13">
        <f>'4.1 Comptes 2023 natures'!P72/'4.1 Comptes 2023 natures'!P3</f>
        <v>0</v>
      </c>
      <c r="Q72" s="13">
        <f>'4.1 Comptes 2023 natures'!Q72/'4.1 Comptes 2023 natures'!Q3</f>
        <v>0</v>
      </c>
      <c r="R72" s="13">
        <f>'4.1 Comptes 2023 natures'!R72/'4.1 Comptes 2023 natures'!R3</f>
        <v>0</v>
      </c>
      <c r="S72" s="13">
        <f>'4.1 Comptes 2023 natures'!S72/'4.1 Comptes 2023 natures'!S3</f>
        <v>0</v>
      </c>
      <c r="T72" s="13">
        <f>'4.1 Comptes 2023 natures'!T72/'4.1 Comptes 2023 natures'!T3</f>
        <v>0</v>
      </c>
      <c r="U72" s="13">
        <f>'4.1 Comptes 2023 natures'!U72/'4.1 Comptes 2023 natures'!U3</f>
        <v>0</v>
      </c>
      <c r="V72" s="13">
        <f>'4.1 Comptes 2023 natures'!V72/'4.1 Comptes 2023 natures'!V3</f>
        <v>0</v>
      </c>
      <c r="W72" s="13">
        <f>'4.1 Comptes 2023 natures'!W72/'4.1 Comptes 2023 natures'!W3</f>
        <v>0</v>
      </c>
      <c r="X72" s="13">
        <f>'4.1 Comptes 2023 natures'!X72/'4.1 Comptes 2023 natures'!X3</f>
        <v>0</v>
      </c>
      <c r="Y72" s="13">
        <f>'4.1 Comptes 2023 natures'!Y72/'4.1 Comptes 2023 natures'!Y3</f>
        <v>0</v>
      </c>
      <c r="Z72" s="13">
        <f>'4.1 Comptes 2023 natures'!Z72/'4.1 Comptes 2023 natures'!Z3</f>
        <v>0</v>
      </c>
      <c r="AA72" s="13">
        <f>'4.1 Comptes 2023 natures'!AA72/'4.1 Comptes 2023 natures'!AA3</f>
        <v>0</v>
      </c>
      <c r="AB72" s="13">
        <f>'4.1 Comptes 2023 natures'!AB72/'4.1 Comptes 2023 natures'!AB3</f>
        <v>0</v>
      </c>
      <c r="AC72" s="13">
        <f>'4.1 Comptes 2023 natures'!AC72/'4.1 Comptes 2023 natures'!AC3</f>
        <v>0</v>
      </c>
      <c r="AD72" s="13">
        <f>'4.1 Comptes 2023 natures'!AD72/'4.1 Comptes 2023 natures'!AD3</f>
        <v>0</v>
      </c>
      <c r="AE72" s="13">
        <f>'4.1 Comptes 2023 natures'!AE72/'4.1 Comptes 2023 natures'!AE3</f>
        <v>0</v>
      </c>
      <c r="AF72" s="13">
        <f>'4.1 Comptes 2023 natures'!AF72/'4.1 Comptes 2023 natures'!AF3</f>
        <v>0</v>
      </c>
      <c r="AG72" s="13">
        <f>'4.1 Comptes 2023 natures'!AG72/'4.1 Comptes 2023 natures'!AG3</f>
        <v>0</v>
      </c>
      <c r="AH72" s="13">
        <f>'4.1 Comptes 2023 natures'!AH72/'4.1 Comptes 2023 natures'!AH3</f>
        <v>0</v>
      </c>
      <c r="AI72" s="13">
        <f>'4.1 Comptes 2023 natures'!AI72/'4.1 Comptes 2023 natures'!AI3</f>
        <v>0</v>
      </c>
      <c r="AJ72" s="13">
        <f>'4.1 Comptes 2023 natures'!AJ72/'4.1 Comptes 2023 natures'!AJ3</f>
        <v>0</v>
      </c>
      <c r="AK72" s="13">
        <f>'4.1 Comptes 2023 natures'!AK72/'4.1 Comptes 2023 natures'!AK3</f>
        <v>0</v>
      </c>
      <c r="AL72" s="13">
        <f>'4.1 Comptes 2023 natures'!AL72/'4.1 Comptes 2023 natures'!AL3</f>
        <v>0</v>
      </c>
      <c r="AM72" s="13">
        <f>'4.1 Comptes 2023 natures'!AM72/'4.1 Comptes 2023 natures'!AM3</f>
        <v>0</v>
      </c>
      <c r="AN72" s="13">
        <f>'4.1 Comptes 2023 natures'!AN72/'4.1 Comptes 2023 natures'!AN3</f>
        <v>0</v>
      </c>
      <c r="AO72" s="13">
        <f>'4.1 Comptes 2023 natures'!AO72/'4.1 Comptes 2023 natures'!AO3</f>
        <v>0</v>
      </c>
      <c r="AP72" s="13">
        <f>'4.1 Comptes 2023 natures'!AP72/'4.1 Comptes 2023 natures'!AP3</f>
        <v>0</v>
      </c>
      <c r="AQ72" s="13">
        <f>'4.1 Comptes 2023 natures'!AQ72/'4.1 Comptes 2023 natures'!AQ3</f>
        <v>0</v>
      </c>
      <c r="AR72" s="13">
        <f>'4.1 Comptes 2023 natures'!AR72/'4.1 Comptes 2023 natures'!AR3</f>
        <v>0</v>
      </c>
      <c r="AS72" s="13">
        <f>'4.1 Comptes 2023 natures'!AS72/'4.1 Comptes 2023 natures'!AS3</f>
        <v>0</v>
      </c>
      <c r="AT72" s="13">
        <f>'4.1 Comptes 2023 natures'!AT72/'4.1 Comptes 2023 natures'!AT3</f>
        <v>0</v>
      </c>
      <c r="AU72" s="13">
        <f>'4.1 Comptes 2023 natures'!AU72/'4.1 Comptes 2023 natures'!AU3</f>
        <v>0</v>
      </c>
      <c r="AV72" s="13">
        <f>'4.1 Comptes 2023 natures'!AV72/'4.1 Comptes 2023 natures'!AV3</f>
        <v>0</v>
      </c>
      <c r="AW72" s="13">
        <f>'4.1 Comptes 2023 natures'!AW72/'4.1 Comptes 2023 natures'!AW3</f>
        <v>0</v>
      </c>
      <c r="AX72" s="13">
        <f>'4.1 Comptes 2023 natures'!AX72/'4.1 Comptes 2023 natures'!AX3</f>
        <v>0</v>
      </c>
      <c r="AY72" s="13">
        <f>'4.1 Comptes 2023 natures'!AY72/'4.1 Comptes 2023 natures'!AY3</f>
        <v>0</v>
      </c>
      <c r="AZ72" s="13">
        <f>'4.1 Comptes 2023 natures'!AZ72/'4.1 Comptes 2023 natures'!AZ3</f>
        <v>0</v>
      </c>
      <c r="BA72" s="13">
        <f>'4.1 Comptes 2023 natures'!BA72/'4.1 Comptes 2023 natures'!BA3</f>
        <v>0</v>
      </c>
      <c r="BB72" s="13">
        <f>'4.1 Comptes 2023 natures'!BB72/'4.1 Comptes 2023 natures'!BB3</f>
        <v>0</v>
      </c>
      <c r="BC72" s="13">
        <f>'4.1 Comptes 2023 natures'!BC72/'4.1 Comptes 2023 natures'!BC3</f>
        <v>0</v>
      </c>
      <c r="BD72" s="13">
        <f>'4.1 Comptes 2023 natures'!BD72/'4.1 Comptes 2023 natures'!BD3</f>
        <v>32.422801818962277</v>
      </c>
      <c r="BE72" s="13">
        <f>'4.1 Comptes 2023 natures'!BE72/'4.1 Comptes 2023 natures'!BE3</f>
        <v>60.944403177004531</v>
      </c>
      <c r="BF72" s="13">
        <f>'4.1 Comptes 2023 natures'!BF72/'4.1 Comptes 2023 natures'!BF3</f>
        <v>0</v>
      </c>
      <c r="BG72" s="13">
        <f>'4.1 Comptes 2023 natures'!BG72/'4.1 Comptes 2023 natures'!BG3</f>
        <v>0</v>
      </c>
    </row>
    <row r="73" spans="1:59" x14ac:dyDescent="0.2">
      <c r="C73" s="8">
        <v>399</v>
      </c>
      <c r="D73" s="8" t="s">
        <v>132</v>
      </c>
      <c r="E73" s="13">
        <f>'4.1 Comptes 2023 natures'!E73/'4.1 Comptes 2023 natures'!E3</f>
        <v>0</v>
      </c>
      <c r="F73" s="13">
        <f>'4.1 Comptes 2023 natures'!F73/'4.1 Comptes 2023 natures'!F3</f>
        <v>0</v>
      </c>
      <c r="G73" s="13">
        <f>'4.1 Comptes 2023 natures'!G73/'4.1 Comptes 2023 natures'!G3</f>
        <v>0</v>
      </c>
      <c r="H73" s="13">
        <f>'4.1 Comptes 2023 natures'!H73/'4.1 Comptes 2023 natures'!H3</f>
        <v>0</v>
      </c>
      <c r="I73" s="13">
        <f>'4.1 Comptes 2023 natures'!I73/'4.1 Comptes 2023 natures'!I3</f>
        <v>0</v>
      </c>
      <c r="J73" s="13">
        <f>'4.1 Comptes 2023 natures'!J73/'4.1 Comptes 2023 natures'!J3</f>
        <v>0</v>
      </c>
      <c r="K73" s="13">
        <f>'4.1 Comptes 2023 natures'!K73/'4.1 Comptes 2023 natures'!K3</f>
        <v>0</v>
      </c>
      <c r="L73" s="13">
        <f>'4.1 Comptes 2023 natures'!L73/'4.1 Comptes 2023 natures'!L3</f>
        <v>0</v>
      </c>
      <c r="M73" s="13">
        <f>'4.1 Comptes 2023 natures'!M73/'4.1 Comptes 2023 natures'!M3</f>
        <v>0</v>
      </c>
      <c r="N73" s="13">
        <f>'4.1 Comptes 2023 natures'!N73/'4.1 Comptes 2023 natures'!N3</f>
        <v>0</v>
      </c>
      <c r="O73" s="13">
        <f>'4.1 Comptes 2023 natures'!O73/'4.1 Comptes 2023 natures'!O3</f>
        <v>0</v>
      </c>
      <c r="P73" s="13">
        <f>'4.1 Comptes 2023 natures'!P73/'4.1 Comptes 2023 natures'!P3</f>
        <v>0</v>
      </c>
      <c r="Q73" s="13">
        <f>'4.1 Comptes 2023 natures'!Q73/'4.1 Comptes 2023 natures'!Q3</f>
        <v>0</v>
      </c>
      <c r="R73" s="13">
        <f>'4.1 Comptes 2023 natures'!R73/'4.1 Comptes 2023 natures'!R3</f>
        <v>0</v>
      </c>
      <c r="S73" s="13">
        <f>'4.1 Comptes 2023 natures'!S73/'4.1 Comptes 2023 natures'!S3</f>
        <v>0</v>
      </c>
      <c r="T73" s="13">
        <f>'4.1 Comptes 2023 natures'!T73/'4.1 Comptes 2023 natures'!T3</f>
        <v>0</v>
      </c>
      <c r="U73" s="13">
        <f>'4.1 Comptes 2023 natures'!U73/'4.1 Comptes 2023 natures'!U3</f>
        <v>0</v>
      </c>
      <c r="V73" s="13">
        <f>'4.1 Comptes 2023 natures'!V73/'4.1 Comptes 2023 natures'!V3</f>
        <v>0</v>
      </c>
      <c r="W73" s="13">
        <f>'4.1 Comptes 2023 natures'!W73/'4.1 Comptes 2023 natures'!W3</f>
        <v>1.6518813092688895</v>
      </c>
      <c r="X73" s="13">
        <f>'4.1 Comptes 2023 natures'!X73/'4.1 Comptes 2023 natures'!X3</f>
        <v>0</v>
      </c>
      <c r="Y73" s="13">
        <f>'4.1 Comptes 2023 natures'!Y73/'4.1 Comptes 2023 natures'!Y3</f>
        <v>0</v>
      </c>
      <c r="Z73" s="13">
        <f>'4.1 Comptes 2023 natures'!Z73/'4.1 Comptes 2023 natures'!Z3</f>
        <v>0</v>
      </c>
      <c r="AA73" s="13">
        <f>'4.1 Comptes 2023 natures'!AA73/'4.1 Comptes 2023 natures'!AA3</f>
        <v>0</v>
      </c>
      <c r="AB73" s="13">
        <f>'4.1 Comptes 2023 natures'!AB73/'4.1 Comptes 2023 natures'!AB3</f>
        <v>0</v>
      </c>
      <c r="AC73" s="13">
        <f>'4.1 Comptes 2023 natures'!AC73/'4.1 Comptes 2023 natures'!AC3</f>
        <v>0</v>
      </c>
      <c r="AD73" s="13">
        <f>'4.1 Comptes 2023 natures'!AD73/'4.1 Comptes 2023 natures'!AD3</f>
        <v>0</v>
      </c>
      <c r="AE73" s="13">
        <f>'4.1 Comptes 2023 natures'!AE73/'4.1 Comptes 2023 natures'!AE3</f>
        <v>0</v>
      </c>
      <c r="AF73" s="13">
        <f>'4.1 Comptes 2023 natures'!AF73/'4.1 Comptes 2023 natures'!AF3</f>
        <v>0</v>
      </c>
      <c r="AG73" s="13">
        <f>'4.1 Comptes 2023 natures'!AG73/'4.1 Comptes 2023 natures'!AG3</f>
        <v>0</v>
      </c>
      <c r="AH73" s="13">
        <f>'4.1 Comptes 2023 natures'!AH73/'4.1 Comptes 2023 natures'!AH3</f>
        <v>0</v>
      </c>
      <c r="AI73" s="13">
        <f>'4.1 Comptes 2023 natures'!AI73/'4.1 Comptes 2023 natures'!AI3</f>
        <v>0</v>
      </c>
      <c r="AJ73" s="13">
        <f>'4.1 Comptes 2023 natures'!AJ73/'4.1 Comptes 2023 natures'!AJ3</f>
        <v>0</v>
      </c>
      <c r="AK73" s="13">
        <f>'4.1 Comptes 2023 natures'!AK73/'4.1 Comptes 2023 natures'!AK3</f>
        <v>0</v>
      </c>
      <c r="AL73" s="13">
        <f>'4.1 Comptes 2023 natures'!AL73/'4.1 Comptes 2023 natures'!AL3</f>
        <v>0</v>
      </c>
      <c r="AM73" s="13">
        <f>'4.1 Comptes 2023 natures'!AM73/'4.1 Comptes 2023 natures'!AM3</f>
        <v>0</v>
      </c>
      <c r="AN73" s="13">
        <f>'4.1 Comptes 2023 natures'!AN73/'4.1 Comptes 2023 natures'!AN3</f>
        <v>0</v>
      </c>
      <c r="AO73" s="13">
        <f>'4.1 Comptes 2023 natures'!AO73/'4.1 Comptes 2023 natures'!AO3</f>
        <v>0</v>
      </c>
      <c r="AP73" s="13">
        <f>'4.1 Comptes 2023 natures'!AP73/'4.1 Comptes 2023 natures'!AP3</f>
        <v>0</v>
      </c>
      <c r="AQ73" s="13">
        <f>'4.1 Comptes 2023 natures'!AQ73/'4.1 Comptes 2023 natures'!AQ3</f>
        <v>0</v>
      </c>
      <c r="AR73" s="13">
        <f>'4.1 Comptes 2023 natures'!AR73/'4.1 Comptes 2023 natures'!AR3</f>
        <v>0</v>
      </c>
      <c r="AS73" s="13">
        <f>'4.1 Comptes 2023 natures'!AS73/'4.1 Comptes 2023 natures'!AS3</f>
        <v>0</v>
      </c>
      <c r="AT73" s="13">
        <f>'4.1 Comptes 2023 natures'!AT73/'4.1 Comptes 2023 natures'!AT3</f>
        <v>0</v>
      </c>
      <c r="AU73" s="13">
        <f>'4.1 Comptes 2023 natures'!AU73/'4.1 Comptes 2023 natures'!AU3</f>
        <v>0</v>
      </c>
      <c r="AV73" s="13">
        <f>'4.1 Comptes 2023 natures'!AV73/'4.1 Comptes 2023 natures'!AV3</f>
        <v>0</v>
      </c>
      <c r="AW73" s="13">
        <f>'4.1 Comptes 2023 natures'!AW73/'4.1 Comptes 2023 natures'!AW3</f>
        <v>0</v>
      </c>
      <c r="AX73" s="13">
        <f>'4.1 Comptes 2023 natures'!AX73/'4.1 Comptes 2023 natures'!AX3</f>
        <v>0</v>
      </c>
      <c r="AY73" s="13">
        <f>'4.1 Comptes 2023 natures'!AY73/'4.1 Comptes 2023 natures'!AY3</f>
        <v>4.6144505160898603</v>
      </c>
      <c r="AZ73" s="13">
        <f>'4.1 Comptes 2023 natures'!AZ73/'4.1 Comptes 2023 natures'!AZ3</f>
        <v>0</v>
      </c>
      <c r="BA73" s="13">
        <f>'4.1 Comptes 2023 natures'!BA73/'4.1 Comptes 2023 natures'!BA3</f>
        <v>0</v>
      </c>
      <c r="BB73" s="13">
        <f>'4.1 Comptes 2023 natures'!BB73/'4.1 Comptes 2023 natures'!BB3</f>
        <v>0</v>
      </c>
      <c r="BC73" s="13">
        <f>'4.1 Comptes 2023 natures'!BC73/'4.1 Comptes 2023 natures'!BC3</f>
        <v>0</v>
      </c>
      <c r="BD73" s="13">
        <f>'4.1 Comptes 2023 natures'!BD73/'4.1 Comptes 2023 natures'!BD3</f>
        <v>0.17438428931695016</v>
      </c>
      <c r="BE73" s="13">
        <f>'4.1 Comptes 2023 natures'!BE73/'4.1 Comptes 2023 natures'!BE3</f>
        <v>0.13615733736762481</v>
      </c>
      <c r="BF73" s="13">
        <f>'4.1 Comptes 2023 natures'!BF73/'4.1 Comptes 2023 natures'!BF3</f>
        <v>0</v>
      </c>
      <c r="BG73" s="13">
        <f>'4.1 Comptes 2023 natures'!BG73/'4.1 Comptes 2023 natures'!BG3</f>
        <v>0.31202529047091188</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4342.888449531737</v>
      </c>
      <c r="F76" s="15">
        <f t="shared" ref="F76:BG76" si="10">F77+F83+F89+F100+F106+F118+F122+F129+F132+F141</f>
        <v>4792.2402298850575</v>
      </c>
      <c r="G76" s="15">
        <f t="shared" si="10"/>
        <v>3488.9015789473688</v>
      </c>
      <c r="H76" s="15">
        <f t="shared" si="10"/>
        <v>5054.6693258426967</v>
      </c>
      <c r="I76" s="15">
        <f t="shared" si="10"/>
        <v>4793.3462994273259</v>
      </c>
      <c r="J76" s="15">
        <f t="shared" si="10"/>
        <v>4483.5045789163732</v>
      </c>
      <c r="K76" s="15">
        <f t="shared" si="10"/>
        <v>4392.8223568281937</v>
      </c>
      <c r="L76" s="15">
        <f t="shared" si="10"/>
        <v>9517.6259219718959</v>
      </c>
      <c r="M76" s="15">
        <f t="shared" si="10"/>
        <v>6271.4098177842561</v>
      </c>
      <c r="N76" s="15">
        <f t="shared" si="10"/>
        <v>4458.4315384615393</v>
      </c>
      <c r="O76" s="15">
        <f t="shared" si="10"/>
        <v>3959.844406411301</v>
      </c>
      <c r="P76" s="15">
        <f t="shared" si="10"/>
        <v>3858.3768971962613</v>
      </c>
      <c r="Q76" s="15">
        <f t="shared" si="10"/>
        <v>3439.6481250000002</v>
      </c>
      <c r="R76" s="15">
        <f t="shared" si="10"/>
        <v>4378.2593809523823</v>
      </c>
      <c r="S76" s="15">
        <f t="shared" si="10"/>
        <v>4060.8426361031516</v>
      </c>
      <c r="T76" s="15">
        <f t="shared" si="10"/>
        <v>4648.3598362892217</v>
      </c>
      <c r="U76" s="15">
        <f t="shared" si="10"/>
        <v>3925.8700366300363</v>
      </c>
      <c r="V76" s="15">
        <f t="shared" si="10"/>
        <v>5806.1354060324829</v>
      </c>
      <c r="W76" s="15">
        <f t="shared" si="10"/>
        <v>3937.1817528296119</v>
      </c>
      <c r="X76" s="15">
        <f t="shared" si="10"/>
        <v>6581.947737704917</v>
      </c>
      <c r="Y76" s="15">
        <f t="shared" si="10"/>
        <v>5859.491110223641</v>
      </c>
      <c r="Z76" s="15">
        <f t="shared" si="10"/>
        <v>12122.7265773447</v>
      </c>
      <c r="AA76" s="15">
        <f t="shared" si="10"/>
        <v>6052.0264429530198</v>
      </c>
      <c r="AB76" s="15">
        <f t="shared" si="10"/>
        <v>5047.7693725490199</v>
      </c>
      <c r="AC76" s="15">
        <f t="shared" si="10"/>
        <v>5715.3335774647885</v>
      </c>
      <c r="AD76" s="15">
        <f t="shared" si="10"/>
        <v>5089.4719964664309</v>
      </c>
      <c r="AE76" s="15">
        <f t="shared" si="10"/>
        <v>8561.7230118110238</v>
      </c>
      <c r="AF76" s="15">
        <f t="shared" si="10"/>
        <v>5918.6046806336235</v>
      </c>
      <c r="AG76" s="15">
        <f t="shared" si="10"/>
        <v>5308.824135514019</v>
      </c>
      <c r="AH76" s="15">
        <f t="shared" si="10"/>
        <v>4581.259539748954</v>
      </c>
      <c r="AI76" s="15">
        <f t="shared" si="10"/>
        <v>5612.7928000000011</v>
      </c>
      <c r="AJ76" s="15">
        <f t="shared" si="10"/>
        <v>4524.2914472994235</v>
      </c>
      <c r="AK76" s="15">
        <f t="shared" si="10"/>
        <v>5382.5745679012352</v>
      </c>
      <c r="AL76" s="15">
        <f t="shared" si="10"/>
        <v>4539.4662427265175</v>
      </c>
      <c r="AM76" s="15">
        <f t="shared" si="10"/>
        <v>5962.7065178571438</v>
      </c>
      <c r="AN76" s="15">
        <f t="shared" si="10"/>
        <v>9054.2505123825795</v>
      </c>
      <c r="AO76" s="15">
        <f t="shared" si="10"/>
        <v>5406.9080763358779</v>
      </c>
      <c r="AP76" s="15">
        <f t="shared" si="10"/>
        <v>4876.4680982567352</v>
      </c>
      <c r="AQ76" s="15">
        <f t="shared" si="10"/>
        <v>5326.8185316846993</v>
      </c>
      <c r="AR76" s="15">
        <f t="shared" si="10"/>
        <v>4461.5272815533981</v>
      </c>
      <c r="AS76" s="15">
        <f t="shared" si="10"/>
        <v>4620.8848301886783</v>
      </c>
      <c r="AT76" s="15">
        <f t="shared" si="10"/>
        <v>5245.8388535031845</v>
      </c>
      <c r="AU76" s="15">
        <f t="shared" si="10"/>
        <v>4358.3941744802287</v>
      </c>
      <c r="AV76" s="15">
        <f t="shared" si="10"/>
        <v>4536.7654521963841</v>
      </c>
      <c r="AW76" s="15">
        <f t="shared" si="10"/>
        <v>5572.2346280991733</v>
      </c>
      <c r="AX76" s="15">
        <f t="shared" si="10"/>
        <v>4214.6026204819273</v>
      </c>
      <c r="AY76" s="15">
        <f t="shared" si="10"/>
        <v>4580.4612143290815</v>
      </c>
      <c r="AZ76" s="15">
        <f t="shared" si="10"/>
        <v>4903.9026771653544</v>
      </c>
      <c r="BA76" s="15">
        <f t="shared" si="10"/>
        <v>5453.4956480605488</v>
      </c>
      <c r="BB76" s="15">
        <f t="shared" si="10"/>
        <v>6428.9161899712171</v>
      </c>
      <c r="BC76" s="15">
        <f t="shared" si="10"/>
        <v>4843.8140402193785</v>
      </c>
      <c r="BD76" s="15">
        <f t="shared" si="10"/>
        <v>7000.2063585237938</v>
      </c>
      <c r="BE76" s="15">
        <f t="shared" si="10"/>
        <v>6180.2484104830664</v>
      </c>
      <c r="BF76" s="15">
        <f t="shared" si="10"/>
        <v>7396.220615809214</v>
      </c>
      <c r="BG76" s="15">
        <f t="shared" si="10"/>
        <v>5618.7536465387666</v>
      </c>
    </row>
    <row r="77" spans="1:59" ht="15" x14ac:dyDescent="0.25">
      <c r="A77" s="7"/>
      <c r="B77" s="77">
        <v>40</v>
      </c>
      <c r="C77" s="77"/>
      <c r="D77" s="77" t="s">
        <v>76</v>
      </c>
      <c r="E77" s="78">
        <f>E78+E79+E80+E81</f>
        <v>2996.8895525494277</v>
      </c>
      <c r="F77" s="78">
        <f t="shared" ref="F77:BG77" si="11">F78+F79+F80+F81</f>
        <v>2772.3316091954021</v>
      </c>
      <c r="G77" s="78">
        <f t="shared" si="11"/>
        <v>1876.0203441295548</v>
      </c>
      <c r="H77" s="78">
        <f t="shared" si="11"/>
        <v>2459.6793707865168</v>
      </c>
      <c r="I77" s="78">
        <f t="shared" si="11"/>
        <v>2642.3479847286612</v>
      </c>
      <c r="J77" s="78">
        <f t="shared" si="11"/>
        <v>2960.3747820965846</v>
      </c>
      <c r="K77" s="78">
        <f t="shared" si="11"/>
        <v>3090.2813105726873</v>
      </c>
      <c r="L77" s="78">
        <f t="shared" si="11"/>
        <v>3205.1273922599894</v>
      </c>
      <c r="M77" s="78">
        <f t="shared" si="11"/>
        <v>2999.1831486880469</v>
      </c>
      <c r="N77" s="78">
        <f t="shared" si="11"/>
        <v>2303.1615384615388</v>
      </c>
      <c r="O77" s="78">
        <f t="shared" si="11"/>
        <v>2590.5653667481661</v>
      </c>
      <c r="P77" s="78">
        <f t="shared" si="11"/>
        <v>2602.8601682242988</v>
      </c>
      <c r="Q77" s="78">
        <f t="shared" si="11"/>
        <v>2252.9491071428574</v>
      </c>
      <c r="R77" s="78">
        <f t="shared" si="11"/>
        <v>2540.2685238095241</v>
      </c>
      <c r="S77" s="78">
        <f t="shared" si="11"/>
        <v>2352.4634383954153</v>
      </c>
      <c r="T77" s="78">
        <f t="shared" si="11"/>
        <v>3003.7482810368351</v>
      </c>
      <c r="U77" s="78">
        <f t="shared" si="11"/>
        <v>2235.3402930402931</v>
      </c>
      <c r="V77" s="78">
        <f t="shared" si="11"/>
        <v>3373.5253828306268</v>
      </c>
      <c r="W77" s="78">
        <f t="shared" si="11"/>
        <v>2722.646677883145</v>
      </c>
      <c r="X77" s="78">
        <f t="shared" si="11"/>
        <v>3314.7549180327869</v>
      </c>
      <c r="Y77" s="78">
        <f t="shared" si="11"/>
        <v>4072.4632987220448</v>
      </c>
      <c r="Z77" s="78">
        <f t="shared" si="11"/>
        <v>8382.1929537149808</v>
      </c>
      <c r="AA77" s="78">
        <f t="shared" si="11"/>
        <v>2331.8024161073827</v>
      </c>
      <c r="AB77" s="78">
        <f t="shared" si="11"/>
        <v>2589.4707058823533</v>
      </c>
      <c r="AC77" s="78">
        <f t="shared" si="11"/>
        <v>3287.4443521126768</v>
      </c>
      <c r="AD77" s="78">
        <f t="shared" si="11"/>
        <v>2972.3113250883389</v>
      </c>
      <c r="AE77" s="78">
        <f t="shared" si="11"/>
        <v>3676.8904330708669</v>
      </c>
      <c r="AF77" s="78">
        <f t="shared" si="11"/>
        <v>3975.8741032192129</v>
      </c>
      <c r="AG77" s="78">
        <f t="shared" si="11"/>
        <v>3299.0632866043611</v>
      </c>
      <c r="AH77" s="78">
        <f t="shared" si="11"/>
        <v>2057.2827196652715</v>
      </c>
      <c r="AI77" s="78">
        <f t="shared" si="11"/>
        <v>3430.8680800000002</v>
      </c>
      <c r="AJ77" s="78">
        <f t="shared" si="11"/>
        <v>3181.938552700577</v>
      </c>
      <c r="AK77" s="78">
        <f t="shared" si="11"/>
        <v>2425.3155202821868</v>
      </c>
      <c r="AL77" s="78">
        <f t="shared" si="11"/>
        <v>2571.5507398171239</v>
      </c>
      <c r="AM77" s="78">
        <f t="shared" si="11"/>
        <v>3481.811160714286</v>
      </c>
      <c r="AN77" s="78">
        <f t="shared" si="11"/>
        <v>7427.7478821520072</v>
      </c>
      <c r="AO77" s="78">
        <f t="shared" si="11"/>
        <v>2038.0479389312973</v>
      </c>
      <c r="AP77" s="78">
        <f t="shared" si="11"/>
        <v>3531.3303486529317</v>
      </c>
      <c r="AQ77" s="78">
        <f t="shared" si="11"/>
        <v>2503.9005718701701</v>
      </c>
      <c r="AR77" s="78">
        <f t="shared" si="11"/>
        <v>2786.8309153952846</v>
      </c>
      <c r="AS77" s="78">
        <f t="shared" si="11"/>
        <v>2760.8037735849052</v>
      </c>
      <c r="AT77" s="78">
        <f t="shared" si="11"/>
        <v>3313.9834394904456</v>
      </c>
      <c r="AU77" s="78">
        <f t="shared" si="11"/>
        <v>2820.1469832857724</v>
      </c>
      <c r="AV77" s="78">
        <f t="shared" si="11"/>
        <v>3400.0364211886313</v>
      </c>
      <c r="AW77" s="78">
        <f t="shared" si="11"/>
        <v>2460.2619283746558</v>
      </c>
      <c r="AX77" s="78">
        <f t="shared" si="11"/>
        <v>2789.1842771084339</v>
      </c>
      <c r="AY77" s="78">
        <f t="shared" si="11"/>
        <v>3301.8210746812379</v>
      </c>
      <c r="AZ77" s="78">
        <f t="shared" si="11"/>
        <v>2396.8417322834644</v>
      </c>
      <c r="BA77" s="78">
        <f t="shared" si="11"/>
        <v>3276.5262440870383</v>
      </c>
      <c r="BB77" s="78">
        <f t="shared" si="11"/>
        <v>3642.6272928344197</v>
      </c>
      <c r="BC77" s="78">
        <f t="shared" si="11"/>
        <v>3011.4039488117</v>
      </c>
      <c r="BD77" s="78">
        <f t="shared" si="11"/>
        <v>3219.7327335408058</v>
      </c>
      <c r="BE77" s="78">
        <f t="shared" si="11"/>
        <v>2893.8744069591526</v>
      </c>
      <c r="BF77" s="78">
        <f t="shared" si="11"/>
        <v>4235.0163336815122</v>
      </c>
      <c r="BG77" s="78">
        <f t="shared" si="11"/>
        <v>3311.3527868785154</v>
      </c>
    </row>
    <row r="78" spans="1:59" x14ac:dyDescent="0.2">
      <c r="C78" s="8">
        <v>400</v>
      </c>
      <c r="D78" s="8" t="s">
        <v>134</v>
      </c>
      <c r="E78" s="13">
        <f>'4.1 Comptes 2023 natures'!E78/'4.1 Comptes 2023 natures'!E3</f>
        <v>2587.5417793964621</v>
      </c>
      <c r="F78" s="13">
        <f>'4.1 Comptes 2023 natures'!F78/'4.1 Comptes 2023 natures'!F3</f>
        <v>2090.3818007662835</v>
      </c>
      <c r="G78" s="13">
        <f>'4.1 Comptes 2023 natures'!G78/'4.1 Comptes 2023 natures'!G3</f>
        <v>1692.5111336032389</v>
      </c>
      <c r="H78" s="13">
        <f>'4.1 Comptes 2023 natures'!H78/'4.1 Comptes 2023 natures'!H3</f>
        <v>2028.4656629213482</v>
      </c>
      <c r="I78" s="13">
        <f>'4.1 Comptes 2023 natures'!I78/'4.1 Comptes 2023 natures'!I3</f>
        <v>2137.2500709026453</v>
      </c>
      <c r="J78" s="13">
        <f>'4.1 Comptes 2023 natures'!J78/'4.1 Comptes 2023 natures'!J3</f>
        <v>2324.9900235571263</v>
      </c>
      <c r="K78" s="13">
        <f>'4.1 Comptes 2023 natures'!K78/'4.1 Comptes 2023 natures'!K3</f>
        <v>2375.8979405286345</v>
      </c>
      <c r="L78" s="13">
        <f>'4.1 Comptes 2023 natures'!L78/'4.1 Comptes 2023 natures'!L3</f>
        <v>2405.3223353481435</v>
      </c>
      <c r="M78" s="13">
        <f>'4.1 Comptes 2023 natures'!M78/'4.1 Comptes 2023 natures'!M3</f>
        <v>2374.7895991253645</v>
      </c>
      <c r="N78" s="13">
        <f>'4.1 Comptes 2023 natures'!N78/'4.1 Comptes 2023 natures'!N3</f>
        <v>2049.4414529914529</v>
      </c>
      <c r="O78" s="13">
        <f>'4.1 Comptes 2023 natures'!O78/'4.1 Comptes 2023 natures'!O3</f>
        <v>2256.2220795979351</v>
      </c>
      <c r="P78" s="13">
        <f>'4.1 Comptes 2023 natures'!P78/'4.1 Comptes 2023 natures'!P3</f>
        <v>2038.3408971962615</v>
      </c>
      <c r="Q78" s="13">
        <f>'4.1 Comptes 2023 natures'!Q78/'4.1 Comptes 2023 natures'!Q3</f>
        <v>1932.0879464285715</v>
      </c>
      <c r="R78" s="13">
        <f>'4.1 Comptes 2023 natures'!R78/'4.1 Comptes 2023 natures'!R3</f>
        <v>1981.9455238095238</v>
      </c>
      <c r="S78" s="13">
        <f>'4.1 Comptes 2023 natures'!S78/'4.1 Comptes 2023 natures'!S3</f>
        <v>1972.6925214899711</v>
      </c>
      <c r="T78" s="13">
        <f>'4.1 Comptes 2023 natures'!T78/'4.1 Comptes 2023 natures'!T3</f>
        <v>2617.8531514324695</v>
      </c>
      <c r="U78" s="13">
        <f>'4.1 Comptes 2023 natures'!U78/'4.1 Comptes 2023 natures'!U3</f>
        <v>1778.1144688644688</v>
      </c>
      <c r="V78" s="13">
        <f>'4.1 Comptes 2023 natures'!V78/'4.1 Comptes 2023 natures'!V3</f>
        <v>2273.0524129930395</v>
      </c>
      <c r="W78" s="13">
        <f>'4.1 Comptes 2023 natures'!W78/'4.1 Comptes 2023 natures'!W3</f>
        <v>2151.8888161517284</v>
      </c>
      <c r="X78" s="13">
        <f>'4.1 Comptes 2023 natures'!X78/'4.1 Comptes 2023 natures'!X3</f>
        <v>2856.5237704918031</v>
      </c>
      <c r="Y78" s="13">
        <f>'4.1 Comptes 2023 natures'!Y78/'4.1 Comptes 2023 natures'!Y3</f>
        <v>3442.2013578274759</v>
      </c>
      <c r="Z78" s="13">
        <f>'4.1 Comptes 2023 natures'!Z78/'4.1 Comptes 2023 natures'!Z3</f>
        <v>1984.6892082825823</v>
      </c>
      <c r="AA78" s="13">
        <f>'4.1 Comptes 2023 natures'!AA78/'4.1 Comptes 2023 natures'!AA3</f>
        <v>1849.3671812080538</v>
      </c>
      <c r="AB78" s="13">
        <f>'4.1 Comptes 2023 natures'!AB78/'4.1 Comptes 2023 natures'!AB3</f>
        <v>2397.8937450980393</v>
      </c>
      <c r="AC78" s="13">
        <f>'4.1 Comptes 2023 natures'!AC78/'4.1 Comptes 2023 natures'!AC3</f>
        <v>2742.5990704225355</v>
      </c>
      <c r="AD78" s="13">
        <f>'4.1 Comptes 2023 natures'!AD78/'4.1 Comptes 2023 natures'!AD3</f>
        <v>2362.8633568904593</v>
      </c>
      <c r="AE78" s="13">
        <f>'4.1 Comptes 2023 natures'!AE78/'4.1 Comptes 2023 natures'!AE3</f>
        <v>3065.0616929133862</v>
      </c>
      <c r="AF78" s="13">
        <f>'4.1 Comptes 2023 natures'!AF78/'4.1 Comptes 2023 natures'!AF3</f>
        <v>2443.7315380684722</v>
      </c>
      <c r="AG78" s="13">
        <f>'4.1 Comptes 2023 natures'!AG78/'4.1 Comptes 2023 natures'!AG3</f>
        <v>2567.9326635514017</v>
      </c>
      <c r="AH78" s="13">
        <f>'4.1 Comptes 2023 natures'!AH78/'4.1 Comptes 2023 natures'!AH3</f>
        <v>1737.565271966527</v>
      </c>
      <c r="AI78" s="13">
        <f>'4.1 Comptes 2023 natures'!AI78/'4.1 Comptes 2023 natures'!AI3</f>
        <v>2021.6892800000001</v>
      </c>
      <c r="AJ78" s="13">
        <f>'4.1 Comptes 2023 natures'!AJ78/'4.1 Comptes 2023 natures'!AJ3</f>
        <v>2661.4885317252229</v>
      </c>
      <c r="AK78" s="13">
        <f>'4.1 Comptes 2023 natures'!AK78/'4.1 Comptes 2023 natures'!AK3</f>
        <v>1966.665881834215</v>
      </c>
      <c r="AL78" s="13">
        <f>'4.1 Comptes 2023 natures'!AL78/'4.1 Comptes 2023 natures'!AL3</f>
        <v>2102.4797173732336</v>
      </c>
      <c r="AM78" s="13">
        <f>'4.1 Comptes 2023 natures'!AM78/'4.1 Comptes 2023 natures'!AM3</f>
        <v>2912.6821428571429</v>
      </c>
      <c r="AN78" s="13">
        <f>'4.1 Comptes 2023 natures'!AN78/'4.1 Comptes 2023 natures'!AN3</f>
        <v>3640.5048676345004</v>
      </c>
      <c r="AO78" s="13">
        <f>'4.1 Comptes 2023 natures'!AO78/'4.1 Comptes 2023 natures'!AO3</f>
        <v>2385.9906870229006</v>
      </c>
      <c r="AP78" s="13">
        <f>'4.1 Comptes 2023 natures'!AP78/'4.1 Comptes 2023 natures'!AP3</f>
        <v>2941.7503169572105</v>
      </c>
      <c r="AQ78" s="13">
        <f>'4.1 Comptes 2023 natures'!AQ78/'4.1 Comptes 2023 natures'!AQ3</f>
        <v>1853.6823029366305</v>
      </c>
      <c r="AR78" s="13">
        <f>'4.1 Comptes 2023 natures'!AR78/'4.1 Comptes 2023 natures'!AR3</f>
        <v>2326.7740638002774</v>
      </c>
      <c r="AS78" s="13">
        <f>'4.1 Comptes 2023 natures'!AS78/'4.1 Comptes 2023 natures'!AS3</f>
        <v>2301.3277169811317</v>
      </c>
      <c r="AT78" s="13">
        <f>'4.1 Comptes 2023 natures'!AT78/'4.1 Comptes 2023 natures'!AT3</f>
        <v>2363.7785031847134</v>
      </c>
      <c r="AU78" s="13">
        <f>'4.1 Comptes 2023 natures'!AU78/'4.1 Comptes 2023 natures'!AU3</f>
        <v>2158.9600489196901</v>
      </c>
      <c r="AV78" s="13">
        <f>'4.1 Comptes 2023 natures'!AV78/'4.1 Comptes 2023 natures'!AV3</f>
        <v>2770.2738888888894</v>
      </c>
      <c r="AW78" s="13">
        <f>'4.1 Comptes 2023 natures'!AW78/'4.1 Comptes 2023 natures'!AW3</f>
        <v>1725.9039393939395</v>
      </c>
      <c r="AX78" s="13">
        <f>'4.1 Comptes 2023 natures'!AX78/'4.1 Comptes 2023 natures'!AX3</f>
        <v>2330.7180722891567</v>
      </c>
      <c r="AY78" s="13">
        <f>'4.1 Comptes 2023 natures'!AY78/'4.1 Comptes 2023 natures'!AY3</f>
        <v>2739.2276927747416</v>
      </c>
      <c r="AZ78" s="13">
        <f>'4.1 Comptes 2023 natures'!AZ78/'4.1 Comptes 2023 natures'!AZ3</f>
        <v>1884.8858267716535</v>
      </c>
      <c r="BA78" s="13">
        <f>'4.1 Comptes 2023 natures'!BA78/'4.1 Comptes 2023 natures'!BA3</f>
        <v>2779.7929044465468</v>
      </c>
      <c r="BB78" s="13">
        <f>'4.1 Comptes 2023 natures'!BB78/'4.1 Comptes 2023 natures'!BB3</f>
        <v>2785.8342311770948</v>
      </c>
      <c r="BC78" s="13">
        <f>'4.1 Comptes 2023 natures'!BC78/'4.1 Comptes 2023 natures'!BC3</f>
        <v>2521.4199085923215</v>
      </c>
      <c r="BD78" s="13">
        <f>'4.1 Comptes 2023 natures'!BD78/'4.1 Comptes 2023 natures'!BD3</f>
        <v>2410.186921580726</v>
      </c>
      <c r="BE78" s="13">
        <f>'4.1 Comptes 2023 natures'!BE78/'4.1 Comptes 2023 natures'!BE3</f>
        <v>2293.7950600100858</v>
      </c>
      <c r="BF78" s="13">
        <f>'4.1 Comptes 2023 natures'!BF78/'4.1 Comptes 2023 natures'!BF3</f>
        <v>2547.2146377362078</v>
      </c>
      <c r="BG78" s="13">
        <f>'4.1 Comptes 2023 natures'!BG78/'4.1 Comptes 2023 natures'!BG3</f>
        <v>2540.4600402348401</v>
      </c>
    </row>
    <row r="79" spans="1:59" x14ac:dyDescent="0.2">
      <c r="C79" s="8">
        <v>401</v>
      </c>
      <c r="D79" s="8" t="s">
        <v>135</v>
      </c>
      <c r="E79" s="13">
        <f>'4.1 Comptes 2023 natures'!E79/'4.1 Comptes 2023 natures'!E3</f>
        <v>174.6616129032258</v>
      </c>
      <c r="F79" s="13">
        <f>'4.1 Comptes 2023 natures'!F79/'4.1 Comptes 2023 natures'!F3</f>
        <v>119.05306513409961</v>
      </c>
      <c r="G79" s="13">
        <f>'4.1 Comptes 2023 natures'!G79/'4.1 Comptes 2023 natures'!G3</f>
        <v>-48.066093117408911</v>
      </c>
      <c r="H79" s="13">
        <f>'4.1 Comptes 2023 natures'!H79/'4.1 Comptes 2023 natures'!H3</f>
        <v>61.640898876404499</v>
      </c>
      <c r="I79" s="13">
        <f>'4.1 Comptes 2023 natures'!I79/'4.1 Comptes 2023 natures'!I3</f>
        <v>68.230965366784844</v>
      </c>
      <c r="J79" s="13">
        <f>'4.1 Comptes 2023 natures'!J79/'4.1 Comptes 2023 natures'!J3</f>
        <v>329.29206419316847</v>
      </c>
      <c r="K79" s="13">
        <f>'4.1 Comptes 2023 natures'!K79/'4.1 Comptes 2023 natures'!K3</f>
        <v>449.10023861967699</v>
      </c>
      <c r="L79" s="13">
        <f>'4.1 Comptes 2023 natures'!L79/'4.1 Comptes 2023 natures'!L3</f>
        <v>420.92514718580736</v>
      </c>
      <c r="M79" s="13">
        <f>'4.1 Comptes 2023 natures'!M79/'4.1 Comptes 2023 natures'!M3</f>
        <v>292.64293002915451</v>
      </c>
      <c r="N79" s="13">
        <f>'4.1 Comptes 2023 natures'!N79/'4.1 Comptes 2023 natures'!N3</f>
        <v>83.369658119658126</v>
      </c>
      <c r="O79" s="13">
        <f>'4.1 Comptes 2023 natures'!O79/'4.1 Comptes 2023 natures'!O3</f>
        <v>30.355930453681061</v>
      </c>
      <c r="P79" s="13">
        <f>'4.1 Comptes 2023 natures'!P79/'4.1 Comptes 2023 natures'!P3</f>
        <v>54.750747663551408</v>
      </c>
      <c r="Q79" s="13">
        <f>'4.1 Comptes 2023 natures'!Q79/'4.1 Comptes 2023 natures'!Q3</f>
        <v>4.6325892857142863</v>
      </c>
      <c r="R79" s="13">
        <f>'4.1 Comptes 2023 natures'!R79/'4.1 Comptes 2023 natures'!R3</f>
        <v>82.00869047619048</v>
      </c>
      <c r="S79" s="13">
        <f>'4.1 Comptes 2023 natures'!S79/'4.1 Comptes 2023 natures'!S3</f>
        <v>56.986103151862466</v>
      </c>
      <c r="T79" s="13">
        <f>'4.1 Comptes 2023 natures'!T79/'4.1 Comptes 2023 natures'!T3</f>
        <v>77.555593451568896</v>
      </c>
      <c r="U79" s="13">
        <f>'4.1 Comptes 2023 natures'!U79/'4.1 Comptes 2023 natures'!U3</f>
        <v>177.06245421245421</v>
      </c>
      <c r="V79" s="13">
        <f>'4.1 Comptes 2023 natures'!V79/'4.1 Comptes 2023 natures'!V3</f>
        <v>769.44129930394433</v>
      </c>
      <c r="W79" s="13">
        <f>'4.1 Comptes 2023 natures'!W79/'4.1 Comptes 2023 natures'!W3</f>
        <v>132.96950137656776</v>
      </c>
      <c r="X79" s="13">
        <f>'4.1 Comptes 2023 natures'!X79/'4.1 Comptes 2023 natures'!X3</f>
        <v>39.957868852459015</v>
      </c>
      <c r="Y79" s="13">
        <f>'4.1 Comptes 2023 natures'!Y79/'4.1 Comptes 2023 natures'!Y3</f>
        <v>126.05207667731631</v>
      </c>
      <c r="Z79" s="13">
        <f>'4.1 Comptes 2023 natures'!Z79/'4.1 Comptes 2023 natures'!Z3</f>
        <v>6070.8568514007302</v>
      </c>
      <c r="AA79" s="13">
        <f>'4.1 Comptes 2023 natures'!AA79/'4.1 Comptes 2023 natures'!AA3</f>
        <v>47.044966442953019</v>
      </c>
      <c r="AB79" s="13">
        <f>'4.1 Comptes 2023 natures'!AB79/'4.1 Comptes 2023 natures'!AB3</f>
        <v>-136.43588235294118</v>
      </c>
      <c r="AC79" s="13">
        <f>'4.1 Comptes 2023 natures'!AC79/'4.1 Comptes 2023 natures'!AC3</f>
        <v>79.14014084507042</v>
      </c>
      <c r="AD79" s="13">
        <f>'4.1 Comptes 2023 natures'!AD79/'4.1 Comptes 2023 natures'!AD3</f>
        <v>57.776766784452299</v>
      </c>
      <c r="AE79" s="13">
        <f>'4.1 Comptes 2023 natures'!AE79/'4.1 Comptes 2023 natures'!AE3</f>
        <v>95.975787401574792</v>
      </c>
      <c r="AF79" s="13">
        <f>'4.1 Comptes 2023 natures'!AF79/'4.1 Comptes 2023 natures'!AF3</f>
        <v>1200.7588656106286</v>
      </c>
      <c r="AG79" s="13">
        <f>'4.1 Comptes 2023 natures'!AG79/'4.1 Comptes 2023 natures'!AG3</f>
        <v>320.17229361370715</v>
      </c>
      <c r="AH79" s="13">
        <f>'4.1 Comptes 2023 natures'!AH79/'4.1 Comptes 2023 natures'!AH3</f>
        <v>106.68828451882845</v>
      </c>
      <c r="AI79" s="13">
        <f>'4.1 Comptes 2023 natures'!AI79/'4.1 Comptes 2023 natures'!AI3</f>
        <v>72.331199999999995</v>
      </c>
      <c r="AJ79" s="13">
        <f>'4.1 Comptes 2023 natures'!AJ79/'4.1 Comptes 2023 natures'!AJ3</f>
        <v>102.70249082328264</v>
      </c>
      <c r="AK79" s="13">
        <f>'4.1 Comptes 2023 natures'!AK79/'4.1 Comptes 2023 natures'!AK3</f>
        <v>73.086481481481485</v>
      </c>
      <c r="AL79" s="13">
        <f>'4.1 Comptes 2023 natures'!AL79/'4.1 Comptes 2023 natures'!AL3</f>
        <v>112.99177057356609</v>
      </c>
      <c r="AM79" s="13">
        <f>'4.1 Comptes 2023 natures'!AM79/'4.1 Comptes 2023 natures'!AM3</f>
        <v>66.631696428571431</v>
      </c>
      <c r="AN79" s="13">
        <f>'4.1 Comptes 2023 natures'!AN79/'4.1 Comptes 2023 natures'!AN3</f>
        <v>3415.7175918018784</v>
      </c>
      <c r="AO79" s="13">
        <f>'4.1 Comptes 2023 natures'!AO79/'4.1 Comptes 2023 natures'!AO3</f>
        <v>-675.91549618320619</v>
      </c>
      <c r="AP79" s="13">
        <f>'4.1 Comptes 2023 natures'!AP79/'4.1 Comptes 2023 natures'!AP3</f>
        <v>180.58866877971474</v>
      </c>
      <c r="AQ79" s="13">
        <f>'4.1 Comptes 2023 natures'!AQ79/'4.1 Comptes 2023 natures'!AQ3</f>
        <v>128.79408809891808</v>
      </c>
      <c r="AR79" s="13">
        <f>'4.1 Comptes 2023 natures'!AR79/'4.1 Comptes 2023 natures'!AR3</f>
        <v>43.363023578363389</v>
      </c>
      <c r="AS79" s="13">
        <f>'4.1 Comptes 2023 natures'!AS79/'4.1 Comptes 2023 natures'!AS3</f>
        <v>131.41143396226414</v>
      </c>
      <c r="AT79" s="13">
        <f>'4.1 Comptes 2023 natures'!AT79/'4.1 Comptes 2023 natures'!AT3</f>
        <v>683.6947452229299</v>
      </c>
      <c r="AU79" s="13">
        <f>'4.1 Comptes 2023 natures'!AU79/'4.1 Comptes 2023 natures'!AU3</f>
        <v>316.17305340399508</v>
      </c>
      <c r="AV79" s="13">
        <f>'4.1 Comptes 2023 natures'!AV79/'4.1 Comptes 2023 natures'!AV3</f>
        <v>199.34825581395347</v>
      </c>
      <c r="AW79" s="13">
        <f>'4.1 Comptes 2023 natures'!AW79/'4.1 Comptes 2023 natures'!AW3</f>
        <v>186.14944903581267</v>
      </c>
      <c r="AX79" s="13">
        <f>'4.1 Comptes 2023 natures'!AX79/'4.1 Comptes 2023 natures'!AX3</f>
        <v>41.542500000000004</v>
      </c>
      <c r="AY79" s="13">
        <f>'4.1 Comptes 2023 natures'!AY79/'4.1 Comptes 2023 natures'!AY3</f>
        <v>136.53430479659988</v>
      </c>
      <c r="AZ79" s="13">
        <f>'4.1 Comptes 2023 natures'!AZ79/'4.1 Comptes 2023 natures'!AZ3</f>
        <v>45.379002624671919</v>
      </c>
      <c r="BA79" s="13">
        <f>'4.1 Comptes 2023 natures'!BA79/'4.1 Comptes 2023 natures'!BA3</f>
        <v>30.772327341532637</v>
      </c>
      <c r="BB79" s="13">
        <f>'4.1 Comptes 2023 natures'!BB79/'4.1 Comptes 2023 natures'!BB3</f>
        <v>476.34110740796848</v>
      </c>
      <c r="BC79" s="13">
        <f>'4.1 Comptes 2023 natures'!BC79/'4.1 Comptes 2023 natures'!BC3</f>
        <v>127.24080438756856</v>
      </c>
      <c r="BD79" s="13">
        <f>'4.1 Comptes 2023 natures'!BD79/'4.1 Comptes 2023 natures'!BD3</f>
        <v>433.43801416536991</v>
      </c>
      <c r="BE79" s="13">
        <f>'4.1 Comptes 2023 natures'!BE79/'4.1 Comptes 2023 natures'!BE3</f>
        <v>245.76342208774588</v>
      </c>
      <c r="BF79" s="13">
        <f>'4.1 Comptes 2023 natures'!BF79/'4.1 Comptes 2023 natures'!BF3</f>
        <v>1274.337954610198</v>
      </c>
      <c r="BG79" s="13">
        <f>'4.1 Comptes 2023 natures'!BG79/'4.1 Comptes 2023 natures'!BG3</f>
        <v>375.45291948926393</v>
      </c>
    </row>
    <row r="80" spans="1:59" x14ac:dyDescent="0.2">
      <c r="C80" s="8">
        <v>402</v>
      </c>
      <c r="D80" s="8" t="s">
        <v>136</v>
      </c>
      <c r="E80" s="13">
        <f>'4.1 Comptes 2023 natures'!E80/'4.1 Comptes 2023 natures'!E3</f>
        <v>221.4586368366285</v>
      </c>
      <c r="F80" s="13">
        <f>'4.1 Comptes 2023 natures'!F80/'4.1 Comptes 2023 natures'!F3</f>
        <v>544.05383141762445</v>
      </c>
      <c r="G80" s="13">
        <f>'4.1 Comptes 2023 natures'!G80/'4.1 Comptes 2023 natures'!G3</f>
        <v>220.51943319838057</v>
      </c>
      <c r="H80" s="13">
        <f>'4.1 Comptes 2023 natures'!H80/'4.1 Comptes 2023 natures'!H3</f>
        <v>363.14584269662919</v>
      </c>
      <c r="I80" s="13">
        <f>'4.1 Comptes 2023 natures'!I80/'4.1 Comptes 2023 natures'!I3</f>
        <v>422.52781565312245</v>
      </c>
      <c r="J80" s="13">
        <f>'4.1 Comptes 2023 natures'!J80/'4.1 Comptes 2023 natures'!J3</f>
        <v>296.43957302709072</v>
      </c>
      <c r="K80" s="13">
        <f>'4.1 Comptes 2023 natures'!K80/'4.1 Comptes 2023 natures'!K3</f>
        <v>257.50824155653447</v>
      </c>
      <c r="L80" s="13">
        <f>'4.1 Comptes 2023 natures'!L80/'4.1 Comptes 2023 natures'!L3</f>
        <v>370.51945757123792</v>
      </c>
      <c r="M80" s="13">
        <f>'4.1 Comptes 2023 natures'!M80/'4.1 Comptes 2023 natures'!M3</f>
        <v>327.41898688046643</v>
      </c>
      <c r="N80" s="13">
        <f>'4.1 Comptes 2023 natures'!N80/'4.1 Comptes 2023 natures'!N3</f>
        <v>144.92820512820512</v>
      </c>
      <c r="O80" s="13">
        <f>'4.1 Comptes 2023 natures'!O80/'4.1 Comptes 2023 natures'!O3</f>
        <v>296.23867427329532</v>
      </c>
      <c r="P80" s="13">
        <f>'4.1 Comptes 2023 natures'!P80/'4.1 Comptes 2023 natures'!P3</f>
        <v>501.62394392523362</v>
      </c>
      <c r="Q80" s="13">
        <f>'4.1 Comptes 2023 natures'!Q80/'4.1 Comptes 2023 natures'!Q3</f>
        <v>276.05</v>
      </c>
      <c r="R80" s="13">
        <f>'4.1 Comptes 2023 natures'!R80/'4.1 Comptes 2023 natures'!R3</f>
        <v>438.86942857142856</v>
      </c>
      <c r="S80" s="13">
        <f>'4.1 Comptes 2023 natures'!S80/'4.1 Comptes 2023 natures'!S3</f>
        <v>289.31418338108881</v>
      </c>
      <c r="T80" s="13">
        <f>'4.1 Comptes 2023 natures'!T80/'4.1 Comptes 2023 natures'!T3</f>
        <v>303.18264665757164</v>
      </c>
      <c r="U80" s="13">
        <f>'4.1 Comptes 2023 natures'!U80/'4.1 Comptes 2023 natures'!U3</f>
        <v>237.60934065934066</v>
      </c>
      <c r="V80" s="13">
        <f>'4.1 Comptes 2023 natures'!V80/'4.1 Comptes 2023 natures'!V3</f>
        <v>317.57412993039446</v>
      </c>
      <c r="W80" s="13">
        <f>'4.1 Comptes 2023 natures'!W80/'4.1 Comptes 2023 natures'!W3</f>
        <v>424.78184460079535</v>
      </c>
      <c r="X80" s="13">
        <f>'4.1 Comptes 2023 natures'!X80/'4.1 Comptes 2023 natures'!X3</f>
        <v>327.54803278688524</v>
      </c>
      <c r="Y80" s="13">
        <f>'4.1 Comptes 2023 natures'!Y80/'4.1 Comptes 2023 natures'!Y3</f>
        <v>480.87663738019171</v>
      </c>
      <c r="Z80" s="13">
        <f>'4.1 Comptes 2023 natures'!Z80/'4.1 Comptes 2023 natures'!Z3</f>
        <v>313.20453714981727</v>
      </c>
      <c r="AA80" s="13">
        <f>'4.1 Comptes 2023 natures'!AA80/'4.1 Comptes 2023 natures'!AA3</f>
        <v>414.99429530201343</v>
      </c>
      <c r="AB80" s="13">
        <f>'4.1 Comptes 2023 natures'!AB80/'4.1 Comptes 2023 natures'!AB3</f>
        <v>306.61558823529413</v>
      </c>
      <c r="AC80" s="13">
        <f>'4.1 Comptes 2023 natures'!AC80/'4.1 Comptes 2023 natures'!AC3</f>
        <v>442.60542253521123</v>
      </c>
      <c r="AD80" s="13">
        <f>'4.1 Comptes 2023 natures'!AD80/'4.1 Comptes 2023 natures'!AD3</f>
        <v>472.80618374558304</v>
      </c>
      <c r="AE80" s="13">
        <f>'4.1 Comptes 2023 natures'!AE80/'4.1 Comptes 2023 natures'!AE3</f>
        <v>495.4194881889764</v>
      </c>
      <c r="AF80" s="13">
        <f>'4.1 Comptes 2023 natures'!AF80/'4.1 Comptes 2023 natures'!AF3</f>
        <v>318.55579969340823</v>
      </c>
      <c r="AG80" s="13">
        <f>'4.1 Comptes 2023 natures'!AG80/'4.1 Comptes 2023 natures'!AG3</f>
        <v>379.72102414330215</v>
      </c>
      <c r="AH80" s="13">
        <f>'4.1 Comptes 2023 natures'!AH80/'4.1 Comptes 2023 natures'!AH3</f>
        <v>188.38481171548116</v>
      </c>
      <c r="AI80" s="13">
        <f>'4.1 Comptes 2023 natures'!AI80/'4.1 Comptes 2023 natures'!AI3</f>
        <v>991.16840000000002</v>
      </c>
      <c r="AJ80" s="13">
        <f>'4.1 Comptes 2023 natures'!AJ80/'4.1 Comptes 2023 natures'!AJ3</f>
        <v>411.90935500786577</v>
      </c>
      <c r="AK80" s="13">
        <f>'4.1 Comptes 2023 natures'!AK80/'4.1 Comptes 2023 natures'!AK3</f>
        <v>337.04075837742499</v>
      </c>
      <c r="AL80" s="13">
        <f>'4.1 Comptes 2023 natures'!AL80/'4.1 Comptes 2023 natures'!AL3</f>
        <v>338.27733998337493</v>
      </c>
      <c r="AM80" s="13">
        <f>'4.1 Comptes 2023 natures'!AM80/'4.1 Comptes 2023 natures'!AM3</f>
        <v>447.48124999999999</v>
      </c>
      <c r="AN80" s="13">
        <f>'4.1 Comptes 2023 natures'!AN80/'4.1 Comptes 2023 natures'!AN3</f>
        <v>369.69092228864218</v>
      </c>
      <c r="AO80" s="13">
        <f>'4.1 Comptes 2023 natures'!AO80/'4.1 Comptes 2023 natures'!AO3</f>
        <v>309.44816793893131</v>
      </c>
      <c r="AP80" s="13">
        <f>'4.1 Comptes 2023 natures'!AP80/'4.1 Comptes 2023 natures'!AP3</f>
        <v>396.45570522979398</v>
      </c>
      <c r="AQ80" s="13">
        <f>'4.1 Comptes 2023 natures'!AQ80/'4.1 Comptes 2023 natures'!AQ3</f>
        <v>426.00393353941263</v>
      </c>
      <c r="AR80" s="13">
        <f>'4.1 Comptes 2023 natures'!AR80/'4.1 Comptes 2023 natures'!AR3</f>
        <v>404.44251040221911</v>
      </c>
      <c r="AS80" s="13">
        <f>'4.1 Comptes 2023 natures'!AS80/'4.1 Comptes 2023 natures'!AS3</f>
        <v>314.25367924528302</v>
      </c>
      <c r="AT80" s="13">
        <f>'4.1 Comptes 2023 natures'!AT80/'4.1 Comptes 2023 natures'!AT3</f>
        <v>250.04140127388536</v>
      </c>
      <c r="AU80" s="13">
        <f>'4.1 Comptes 2023 natures'!AU80/'4.1 Comptes 2023 natures'!AU3</f>
        <v>339.40214023644518</v>
      </c>
      <c r="AV80" s="13">
        <f>'4.1 Comptes 2023 natures'!AV80/'4.1 Comptes 2023 natures'!AV3</f>
        <v>423.32487080103363</v>
      </c>
      <c r="AW80" s="13">
        <f>'4.1 Comptes 2023 natures'!AW80/'4.1 Comptes 2023 natures'!AW3</f>
        <v>542.05661157024792</v>
      </c>
      <c r="AX80" s="13">
        <f>'4.1 Comptes 2023 natures'!AX80/'4.1 Comptes 2023 natures'!AX3</f>
        <v>395.17671686746991</v>
      </c>
      <c r="AY80" s="13">
        <f>'4.1 Comptes 2023 natures'!AY80/'4.1 Comptes 2023 natures'!AY3</f>
        <v>411.83005464480874</v>
      </c>
      <c r="AZ80" s="13">
        <f>'4.1 Comptes 2023 natures'!AZ80/'4.1 Comptes 2023 natures'!AZ3</f>
        <v>423.60236220472439</v>
      </c>
      <c r="BA80" s="13">
        <f>'4.1 Comptes 2023 natures'!BA80/'4.1 Comptes 2023 natures'!BA3</f>
        <v>403.02818353831594</v>
      </c>
      <c r="BB80" s="13">
        <f>'4.1 Comptes 2023 natures'!BB80/'4.1 Comptes 2023 natures'!BB3</f>
        <v>371.94790940766546</v>
      </c>
      <c r="BC80" s="13">
        <f>'4.1 Comptes 2023 natures'!BC80/'4.1 Comptes 2023 natures'!BC3</f>
        <v>347.92970749542957</v>
      </c>
      <c r="BD80" s="13">
        <f>'4.1 Comptes 2023 natures'!BD80/'4.1 Comptes 2023 natures'!BD3</f>
        <v>360.13140875677419</v>
      </c>
      <c r="BE80" s="13">
        <f>'4.1 Comptes 2023 natures'!BE80/'4.1 Comptes 2023 natures'!BE3</f>
        <v>344.10559077155824</v>
      </c>
      <c r="BF80" s="13">
        <f>'4.1 Comptes 2023 natures'!BF80/'4.1 Comptes 2023 natures'!BF3</f>
        <v>383.19610768208145</v>
      </c>
      <c r="BG80" s="13">
        <f>'4.1 Comptes 2023 natures'!BG80/'4.1 Comptes 2023 natures'!BG3</f>
        <v>376.25365685429239</v>
      </c>
    </row>
    <row r="81" spans="2:59" x14ac:dyDescent="0.2">
      <c r="C81" s="8">
        <v>403</v>
      </c>
      <c r="D81" s="8" t="s">
        <v>137</v>
      </c>
      <c r="E81" s="13">
        <f>'4.1 Comptes 2023 natures'!E81/'4.1 Comptes 2023 natures'!E3</f>
        <v>13.227523413111342</v>
      </c>
      <c r="F81" s="13">
        <f>'4.1 Comptes 2023 natures'!F81/'4.1 Comptes 2023 natures'!F3</f>
        <v>18.842911877394634</v>
      </c>
      <c r="G81" s="13">
        <f>'4.1 Comptes 2023 natures'!G81/'4.1 Comptes 2023 natures'!G3</f>
        <v>11.05587044534413</v>
      </c>
      <c r="H81" s="13">
        <f>'4.1 Comptes 2023 natures'!H81/'4.1 Comptes 2023 natures'!H3</f>
        <v>6.4269662921348312</v>
      </c>
      <c r="I81" s="13">
        <f>'4.1 Comptes 2023 natures'!I81/'4.1 Comptes 2023 natures'!I3</f>
        <v>14.339132806108536</v>
      </c>
      <c r="J81" s="13">
        <f>'4.1 Comptes 2023 natures'!J81/'4.1 Comptes 2023 natures'!J3</f>
        <v>9.653121319199057</v>
      </c>
      <c r="K81" s="13">
        <f>'4.1 Comptes 2023 natures'!K81/'4.1 Comptes 2023 natures'!K3</f>
        <v>7.7748898678414093</v>
      </c>
      <c r="L81" s="13">
        <f>'4.1 Comptes 2023 natures'!L81/'4.1 Comptes 2023 natures'!L3</f>
        <v>8.3604521548002193</v>
      </c>
      <c r="M81" s="13">
        <f>'4.1 Comptes 2023 natures'!M81/'4.1 Comptes 2023 natures'!M3</f>
        <v>4.3316326530612246</v>
      </c>
      <c r="N81" s="13">
        <f>'4.1 Comptes 2023 natures'!N81/'4.1 Comptes 2023 natures'!N3</f>
        <v>25.422222222222224</v>
      </c>
      <c r="O81" s="13">
        <f>'4.1 Comptes 2023 natures'!O81/'4.1 Comptes 2023 natures'!O3</f>
        <v>7.748682423254551</v>
      </c>
      <c r="P81" s="13">
        <f>'4.1 Comptes 2023 natures'!P81/'4.1 Comptes 2023 natures'!P3</f>
        <v>8.1445794392523378</v>
      </c>
      <c r="Q81" s="13">
        <f>'4.1 Comptes 2023 natures'!Q81/'4.1 Comptes 2023 natures'!Q3</f>
        <v>40.178571428571431</v>
      </c>
      <c r="R81" s="13">
        <f>'4.1 Comptes 2023 natures'!R81/'4.1 Comptes 2023 natures'!R3</f>
        <v>37.444880952380956</v>
      </c>
      <c r="S81" s="13">
        <f>'4.1 Comptes 2023 natures'!S81/'4.1 Comptes 2023 natures'!S3</f>
        <v>33.470630372492835</v>
      </c>
      <c r="T81" s="13">
        <f>'4.1 Comptes 2023 natures'!T81/'4.1 Comptes 2023 natures'!T3</f>
        <v>5.1568894952251023</v>
      </c>
      <c r="U81" s="13">
        <f>'4.1 Comptes 2023 natures'!U81/'4.1 Comptes 2023 natures'!U3</f>
        <v>42.554029304029307</v>
      </c>
      <c r="V81" s="13">
        <f>'4.1 Comptes 2023 natures'!V81/'4.1 Comptes 2023 natures'!V3</f>
        <v>13.45754060324826</v>
      </c>
      <c r="W81" s="13">
        <f>'4.1 Comptes 2023 natures'!W81/'4.1 Comptes 2023 natures'!W3</f>
        <v>13.006515754053229</v>
      </c>
      <c r="X81" s="13">
        <f>'4.1 Comptes 2023 natures'!X81/'4.1 Comptes 2023 natures'!X3</f>
        <v>90.72524590163934</v>
      </c>
      <c r="Y81" s="13">
        <f>'4.1 Comptes 2023 natures'!Y81/'4.1 Comptes 2023 natures'!Y3</f>
        <v>23.333226837060703</v>
      </c>
      <c r="Z81" s="13">
        <f>'4.1 Comptes 2023 natures'!Z81/'4.1 Comptes 2023 natures'!Z3</f>
        <v>13.442356881851399</v>
      </c>
      <c r="AA81" s="13">
        <f>'4.1 Comptes 2023 natures'!AA81/'4.1 Comptes 2023 natures'!AA3</f>
        <v>20.395973154362416</v>
      </c>
      <c r="AB81" s="13">
        <f>'4.1 Comptes 2023 natures'!AB81/'4.1 Comptes 2023 natures'!AB3</f>
        <v>21.397254901960785</v>
      </c>
      <c r="AC81" s="13">
        <f>'4.1 Comptes 2023 natures'!AC81/'4.1 Comptes 2023 natures'!AC3</f>
        <v>23.099718309859153</v>
      </c>
      <c r="AD81" s="13">
        <f>'4.1 Comptes 2023 natures'!AD81/'4.1 Comptes 2023 natures'!AD3</f>
        <v>78.865017667844526</v>
      </c>
      <c r="AE81" s="13">
        <f>'4.1 Comptes 2023 natures'!AE81/'4.1 Comptes 2023 natures'!AE3</f>
        <v>20.433464566929135</v>
      </c>
      <c r="AF81" s="13">
        <f>'4.1 Comptes 2023 natures'!AF81/'4.1 Comptes 2023 natures'!AF3</f>
        <v>12.82789984670414</v>
      </c>
      <c r="AG81" s="13">
        <f>'4.1 Comptes 2023 natures'!AG81/'4.1 Comptes 2023 natures'!AG3</f>
        <v>31.237305295950154</v>
      </c>
      <c r="AH81" s="13">
        <f>'4.1 Comptes 2023 natures'!AH81/'4.1 Comptes 2023 natures'!AH3</f>
        <v>24.644351464435147</v>
      </c>
      <c r="AI81" s="13">
        <f>'4.1 Comptes 2023 natures'!AI81/'4.1 Comptes 2023 natures'!AI3</f>
        <v>345.67920000000004</v>
      </c>
      <c r="AJ81" s="13">
        <f>'4.1 Comptes 2023 natures'!AJ81/'4.1 Comptes 2023 natures'!AJ3</f>
        <v>5.8381751442055583</v>
      </c>
      <c r="AK81" s="13">
        <f>'4.1 Comptes 2023 natures'!AK81/'4.1 Comptes 2023 natures'!AK3</f>
        <v>48.522398589065254</v>
      </c>
      <c r="AL81" s="13">
        <f>'4.1 Comptes 2023 natures'!AL81/'4.1 Comptes 2023 natures'!AL3</f>
        <v>17.801911886949295</v>
      </c>
      <c r="AM81" s="13">
        <f>'4.1 Comptes 2023 natures'!AM81/'4.1 Comptes 2023 natures'!AM3</f>
        <v>55.016071428571429</v>
      </c>
      <c r="AN81" s="13">
        <f>'4.1 Comptes 2023 natures'!AN81/'4.1 Comptes 2023 natures'!AN3</f>
        <v>1.8345004269854823</v>
      </c>
      <c r="AO81" s="13">
        <f>'4.1 Comptes 2023 natures'!AO81/'4.1 Comptes 2023 natures'!AO3</f>
        <v>18.524580152671756</v>
      </c>
      <c r="AP81" s="13">
        <f>'4.1 Comptes 2023 natures'!AP81/'4.1 Comptes 2023 natures'!AP3</f>
        <v>12.535657686212362</v>
      </c>
      <c r="AQ81" s="13">
        <f>'4.1 Comptes 2023 natures'!AQ81/'4.1 Comptes 2023 natures'!AQ3</f>
        <v>95.420247295208654</v>
      </c>
      <c r="AR81" s="13">
        <f>'4.1 Comptes 2023 natures'!AR81/'4.1 Comptes 2023 natures'!AR3</f>
        <v>12.251317614424412</v>
      </c>
      <c r="AS81" s="13">
        <f>'4.1 Comptes 2023 natures'!AS81/'4.1 Comptes 2023 natures'!AS3</f>
        <v>13.810943396226415</v>
      </c>
      <c r="AT81" s="13">
        <f>'4.1 Comptes 2023 natures'!AT81/'4.1 Comptes 2023 natures'!AT3</f>
        <v>16.468789808917197</v>
      </c>
      <c r="AU81" s="13">
        <f>'4.1 Comptes 2023 natures'!AU81/'4.1 Comptes 2023 natures'!AU3</f>
        <v>5.611740725642071</v>
      </c>
      <c r="AV81" s="13">
        <f>'4.1 Comptes 2023 natures'!AV81/'4.1 Comptes 2023 natures'!AV3</f>
        <v>7.0894056847545217</v>
      </c>
      <c r="AW81" s="13">
        <f>'4.1 Comptes 2023 natures'!AW81/'4.1 Comptes 2023 natures'!AW3</f>
        <v>6.1519283746556477</v>
      </c>
      <c r="AX81" s="13">
        <f>'4.1 Comptes 2023 natures'!AX81/'4.1 Comptes 2023 natures'!AX3</f>
        <v>21.746987951807228</v>
      </c>
      <c r="AY81" s="13">
        <f>'4.1 Comptes 2023 natures'!AY81/'4.1 Comptes 2023 natures'!AY3</f>
        <v>14.22902246508804</v>
      </c>
      <c r="AZ81" s="13">
        <f>'4.1 Comptes 2023 natures'!AZ81/'4.1 Comptes 2023 natures'!AZ3</f>
        <v>42.974540682414698</v>
      </c>
      <c r="BA81" s="13">
        <f>'4.1 Comptes 2023 natures'!BA81/'4.1 Comptes 2023 natures'!BA3</f>
        <v>62.932828760643332</v>
      </c>
      <c r="BB81" s="13">
        <f>'4.1 Comptes 2023 natures'!BB81/'4.1 Comptes 2023 natures'!BB3</f>
        <v>8.5040448416906518</v>
      </c>
      <c r="BC81" s="13">
        <f>'4.1 Comptes 2023 natures'!BC81/'4.1 Comptes 2023 natures'!BC3</f>
        <v>14.813528336380257</v>
      </c>
      <c r="BD81" s="13">
        <f>'4.1 Comptes 2023 natures'!BD81/'4.1 Comptes 2023 natures'!BD3</f>
        <v>15.976389037935284</v>
      </c>
      <c r="BE81" s="13">
        <f>'4.1 Comptes 2023 natures'!BE81/'4.1 Comptes 2023 natures'!BE3</f>
        <v>10.210334089762984</v>
      </c>
      <c r="BF81" s="13">
        <f>'4.1 Comptes 2023 natures'!BF81/'4.1 Comptes 2023 natures'!BF3</f>
        <v>30.267633653024411</v>
      </c>
      <c r="BG81" s="13">
        <f>'4.1 Comptes 2023 natures'!BG81/'4.1 Comptes 2023 natures'!BG3</f>
        <v>19.186170300119063</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12">F84+F85+F86+F87</f>
        <v>45.098659003831415</v>
      </c>
      <c r="G83" s="78">
        <f t="shared" si="12"/>
        <v>0</v>
      </c>
      <c r="H83" s="78">
        <f t="shared" si="12"/>
        <v>0</v>
      </c>
      <c r="I83" s="78">
        <f t="shared" si="12"/>
        <v>1.2952686119443686</v>
      </c>
      <c r="J83" s="78">
        <f t="shared" si="12"/>
        <v>0</v>
      </c>
      <c r="K83" s="78">
        <f t="shared" si="12"/>
        <v>0</v>
      </c>
      <c r="L83" s="78">
        <f t="shared" si="12"/>
        <v>0</v>
      </c>
      <c r="M83" s="78">
        <f t="shared" si="12"/>
        <v>36.616946064139938</v>
      </c>
      <c r="N83" s="78">
        <f t="shared" si="12"/>
        <v>0</v>
      </c>
      <c r="O83" s="78">
        <f t="shared" si="12"/>
        <v>8.9413950013583268</v>
      </c>
      <c r="P83" s="78">
        <f t="shared" si="12"/>
        <v>20.065420560747665</v>
      </c>
      <c r="Q83" s="78">
        <f t="shared" si="12"/>
        <v>0</v>
      </c>
      <c r="R83" s="78">
        <f t="shared" si="12"/>
        <v>4.961904761904762</v>
      </c>
      <c r="S83" s="78">
        <f t="shared" si="12"/>
        <v>24.719914040114613</v>
      </c>
      <c r="T83" s="78">
        <f t="shared" si="12"/>
        <v>0</v>
      </c>
      <c r="U83" s="78">
        <f t="shared" si="12"/>
        <v>0</v>
      </c>
      <c r="V83" s="78">
        <f t="shared" si="12"/>
        <v>0</v>
      </c>
      <c r="W83" s="78">
        <f t="shared" si="12"/>
        <v>2.2126032425818294</v>
      </c>
      <c r="X83" s="78">
        <f t="shared" si="12"/>
        <v>0</v>
      </c>
      <c r="Y83" s="78">
        <f t="shared" si="12"/>
        <v>0</v>
      </c>
      <c r="Z83" s="78">
        <f t="shared" si="12"/>
        <v>385.79604141291105</v>
      </c>
      <c r="AA83" s="78">
        <f t="shared" si="12"/>
        <v>1.9597315436241611</v>
      </c>
      <c r="AB83" s="78">
        <f t="shared" si="12"/>
        <v>0</v>
      </c>
      <c r="AC83" s="78">
        <f t="shared" si="12"/>
        <v>0</v>
      </c>
      <c r="AD83" s="78">
        <f t="shared" si="12"/>
        <v>0</v>
      </c>
      <c r="AE83" s="78">
        <f t="shared" si="12"/>
        <v>33.214566929133859</v>
      </c>
      <c r="AF83" s="78">
        <f t="shared" si="12"/>
        <v>1.5329586101175268</v>
      </c>
      <c r="AG83" s="78">
        <f t="shared" si="12"/>
        <v>33.584890965732086</v>
      </c>
      <c r="AH83" s="78">
        <f t="shared" si="12"/>
        <v>107.34707112970712</v>
      </c>
      <c r="AI83" s="78">
        <f t="shared" si="12"/>
        <v>65.824799999999996</v>
      </c>
      <c r="AJ83" s="78">
        <f t="shared" si="12"/>
        <v>0</v>
      </c>
      <c r="AK83" s="78">
        <f t="shared" si="12"/>
        <v>0</v>
      </c>
      <c r="AL83" s="78">
        <f t="shared" si="12"/>
        <v>0</v>
      </c>
      <c r="AM83" s="78">
        <f t="shared" si="12"/>
        <v>0</v>
      </c>
      <c r="AN83" s="78">
        <f t="shared" si="12"/>
        <v>0</v>
      </c>
      <c r="AO83" s="78">
        <f t="shared" si="12"/>
        <v>0</v>
      </c>
      <c r="AP83" s="78">
        <f t="shared" si="12"/>
        <v>0</v>
      </c>
      <c r="AQ83" s="78">
        <f t="shared" si="12"/>
        <v>0.23647604327666152</v>
      </c>
      <c r="AR83" s="78">
        <f t="shared" si="12"/>
        <v>7.8713592233009706</v>
      </c>
      <c r="AS83" s="78">
        <f t="shared" si="12"/>
        <v>55.244150943396228</v>
      </c>
      <c r="AT83" s="78">
        <f t="shared" si="12"/>
        <v>0</v>
      </c>
      <c r="AU83" s="78">
        <f t="shared" si="12"/>
        <v>3.4651447207501018</v>
      </c>
      <c r="AV83" s="78">
        <f t="shared" si="12"/>
        <v>0</v>
      </c>
      <c r="AW83" s="78">
        <f t="shared" si="12"/>
        <v>22.231404958677686</v>
      </c>
      <c r="AX83" s="78">
        <f t="shared" si="12"/>
        <v>0</v>
      </c>
      <c r="AY83" s="78">
        <f t="shared" si="12"/>
        <v>3.3489374620522159</v>
      </c>
      <c r="AZ83" s="78">
        <f t="shared" si="12"/>
        <v>0</v>
      </c>
      <c r="BA83" s="78">
        <f t="shared" si="12"/>
        <v>60.237606433301799</v>
      </c>
      <c r="BB83" s="78">
        <f t="shared" si="12"/>
        <v>0.3575215876382366</v>
      </c>
      <c r="BC83" s="78">
        <f t="shared" si="12"/>
        <v>0.45703839122486289</v>
      </c>
      <c r="BD83" s="78">
        <f t="shared" si="12"/>
        <v>918.53388812606943</v>
      </c>
      <c r="BE83" s="78">
        <f t="shared" si="12"/>
        <v>139.00275317121336</v>
      </c>
      <c r="BF83" s="78">
        <f t="shared" si="12"/>
        <v>628.43618849546112</v>
      </c>
      <c r="BG83" s="78">
        <f t="shared" si="12"/>
        <v>151.38777745092568</v>
      </c>
    </row>
    <row r="84" spans="2:59" x14ac:dyDescent="0.2">
      <c r="C84" s="8">
        <v>410</v>
      </c>
      <c r="D84" s="8" t="s">
        <v>139</v>
      </c>
      <c r="E84" s="13">
        <f>'4.1 Comptes 2023 natures'!E84/'4.1 Comptes 2023 natures'!E3</f>
        <v>0</v>
      </c>
      <c r="F84" s="13">
        <f>'4.1 Comptes 2023 natures'!F84/'4.1 Comptes 2023 natures'!F3</f>
        <v>0</v>
      </c>
      <c r="G84" s="13">
        <f>'4.1 Comptes 2023 natures'!G84/'4.1 Comptes 2023 natures'!G3</f>
        <v>0</v>
      </c>
      <c r="H84" s="13">
        <f>'4.1 Comptes 2023 natures'!H84/'4.1 Comptes 2023 natures'!H3</f>
        <v>0</v>
      </c>
      <c r="I84" s="13">
        <f>'4.1 Comptes 2023 natures'!I84/'4.1 Comptes 2023 natures'!I3</f>
        <v>0</v>
      </c>
      <c r="J84" s="13">
        <f>'4.1 Comptes 2023 natures'!J84/'4.1 Comptes 2023 natures'!J3</f>
        <v>0</v>
      </c>
      <c r="K84" s="13">
        <f>'4.1 Comptes 2023 natures'!K84/'4.1 Comptes 2023 natures'!K3</f>
        <v>0</v>
      </c>
      <c r="L84" s="13">
        <f>'4.1 Comptes 2023 natures'!L84/'4.1 Comptes 2023 natures'!L3</f>
        <v>0</v>
      </c>
      <c r="M84" s="13">
        <f>'4.1 Comptes 2023 natures'!M84/'4.1 Comptes 2023 natures'!M3</f>
        <v>0</v>
      </c>
      <c r="N84" s="13">
        <f>'4.1 Comptes 2023 natures'!N84/'4.1 Comptes 2023 natures'!N3</f>
        <v>0</v>
      </c>
      <c r="O84" s="13">
        <f>'4.1 Comptes 2023 natures'!O84/'4.1 Comptes 2023 natures'!O3</f>
        <v>0</v>
      </c>
      <c r="P84" s="13">
        <f>'4.1 Comptes 2023 natures'!P84/'4.1 Comptes 2023 natures'!P3</f>
        <v>0</v>
      </c>
      <c r="Q84" s="13">
        <f>'4.1 Comptes 2023 natures'!Q84/'4.1 Comptes 2023 natures'!Q3</f>
        <v>0</v>
      </c>
      <c r="R84" s="13">
        <f>'4.1 Comptes 2023 natures'!R84/'4.1 Comptes 2023 natures'!R3</f>
        <v>4.961904761904762</v>
      </c>
      <c r="S84" s="13">
        <f>'4.1 Comptes 2023 natures'!S84/'4.1 Comptes 2023 natures'!S3</f>
        <v>0</v>
      </c>
      <c r="T84" s="13">
        <f>'4.1 Comptes 2023 natures'!T84/'4.1 Comptes 2023 natures'!T3</f>
        <v>0</v>
      </c>
      <c r="U84" s="13">
        <f>'4.1 Comptes 2023 natures'!U84/'4.1 Comptes 2023 natures'!U3</f>
        <v>0</v>
      </c>
      <c r="V84" s="13">
        <f>'4.1 Comptes 2023 natures'!V84/'4.1 Comptes 2023 natures'!V3</f>
        <v>0</v>
      </c>
      <c r="W84" s="13">
        <f>'4.1 Comptes 2023 natures'!W84/'4.1 Comptes 2023 natures'!W3</f>
        <v>0</v>
      </c>
      <c r="X84" s="13">
        <f>'4.1 Comptes 2023 natures'!X84/'4.1 Comptes 2023 natures'!X3</f>
        <v>0</v>
      </c>
      <c r="Y84" s="13">
        <f>'4.1 Comptes 2023 natures'!Y84/'4.1 Comptes 2023 natures'!Y3</f>
        <v>0</v>
      </c>
      <c r="Z84" s="13">
        <f>'4.1 Comptes 2023 natures'!Z84/'4.1 Comptes 2023 natures'!Z3</f>
        <v>0</v>
      </c>
      <c r="AA84" s="13">
        <f>'4.1 Comptes 2023 natures'!AA84/'4.1 Comptes 2023 natures'!AA3</f>
        <v>0</v>
      </c>
      <c r="AB84" s="13">
        <f>'4.1 Comptes 2023 natures'!AB84/'4.1 Comptes 2023 natures'!AB3</f>
        <v>0</v>
      </c>
      <c r="AC84" s="13">
        <f>'4.1 Comptes 2023 natures'!AC84/'4.1 Comptes 2023 natures'!AC3</f>
        <v>0</v>
      </c>
      <c r="AD84" s="13">
        <f>'4.1 Comptes 2023 natures'!AD84/'4.1 Comptes 2023 natures'!AD3</f>
        <v>0</v>
      </c>
      <c r="AE84" s="13">
        <f>'4.1 Comptes 2023 natures'!AE84/'4.1 Comptes 2023 natures'!AE3</f>
        <v>0</v>
      </c>
      <c r="AF84" s="13">
        <f>'4.1 Comptes 2023 natures'!AF84/'4.1 Comptes 2023 natures'!AF3</f>
        <v>0</v>
      </c>
      <c r="AG84" s="13">
        <f>'4.1 Comptes 2023 natures'!AG84/'4.1 Comptes 2023 natures'!AG3</f>
        <v>1.0895638629283488</v>
      </c>
      <c r="AH84" s="13">
        <f>'4.1 Comptes 2023 natures'!AH84/'4.1 Comptes 2023 natures'!AH3</f>
        <v>0</v>
      </c>
      <c r="AI84" s="13">
        <f>'4.1 Comptes 2023 natures'!AI84/'4.1 Comptes 2023 natures'!AI3</f>
        <v>0</v>
      </c>
      <c r="AJ84" s="13">
        <f>'4.1 Comptes 2023 natures'!AJ84/'4.1 Comptes 2023 natures'!AJ3</f>
        <v>0</v>
      </c>
      <c r="AK84" s="13">
        <f>'4.1 Comptes 2023 natures'!AK84/'4.1 Comptes 2023 natures'!AK3</f>
        <v>0</v>
      </c>
      <c r="AL84" s="13">
        <f>'4.1 Comptes 2023 natures'!AL84/'4.1 Comptes 2023 natures'!AL3</f>
        <v>0</v>
      </c>
      <c r="AM84" s="13">
        <f>'4.1 Comptes 2023 natures'!AM84/'4.1 Comptes 2023 natures'!AM3</f>
        <v>0</v>
      </c>
      <c r="AN84" s="13">
        <f>'4.1 Comptes 2023 natures'!AN84/'4.1 Comptes 2023 natures'!AN3</f>
        <v>0</v>
      </c>
      <c r="AO84" s="13">
        <f>'4.1 Comptes 2023 natures'!AO84/'4.1 Comptes 2023 natures'!AO3</f>
        <v>0</v>
      </c>
      <c r="AP84" s="13">
        <f>'4.1 Comptes 2023 natures'!AP84/'4.1 Comptes 2023 natures'!AP3</f>
        <v>0</v>
      </c>
      <c r="AQ84" s="13">
        <f>'4.1 Comptes 2023 natures'!AQ84/'4.1 Comptes 2023 natures'!AQ3</f>
        <v>0</v>
      </c>
      <c r="AR84" s="13">
        <f>'4.1 Comptes 2023 natures'!AR84/'4.1 Comptes 2023 natures'!AR3</f>
        <v>1.6643550624133148</v>
      </c>
      <c r="AS84" s="13">
        <f>'4.1 Comptes 2023 natures'!AS84/'4.1 Comptes 2023 natures'!AS3</f>
        <v>0</v>
      </c>
      <c r="AT84" s="13">
        <f>'4.1 Comptes 2023 natures'!AT84/'4.1 Comptes 2023 natures'!AT3</f>
        <v>0</v>
      </c>
      <c r="AU84" s="13">
        <f>'4.1 Comptes 2023 natures'!AU84/'4.1 Comptes 2023 natures'!AU3</f>
        <v>0</v>
      </c>
      <c r="AV84" s="13">
        <f>'4.1 Comptes 2023 natures'!AV84/'4.1 Comptes 2023 natures'!AV3</f>
        <v>0</v>
      </c>
      <c r="AW84" s="13">
        <f>'4.1 Comptes 2023 natures'!AW84/'4.1 Comptes 2023 natures'!AW3</f>
        <v>0</v>
      </c>
      <c r="AX84" s="13">
        <f>'4.1 Comptes 2023 natures'!AX84/'4.1 Comptes 2023 natures'!AX3</f>
        <v>0</v>
      </c>
      <c r="AY84" s="13">
        <f>'4.1 Comptes 2023 natures'!AY84/'4.1 Comptes 2023 natures'!AY3</f>
        <v>0</v>
      </c>
      <c r="AZ84" s="13">
        <f>'4.1 Comptes 2023 natures'!AZ84/'4.1 Comptes 2023 natures'!AZ3</f>
        <v>0</v>
      </c>
      <c r="BA84" s="13">
        <f>'4.1 Comptes 2023 natures'!BA84/'4.1 Comptes 2023 natures'!BA3</f>
        <v>0</v>
      </c>
      <c r="BB84" s="13">
        <f>'4.1 Comptes 2023 natures'!BB84/'4.1 Comptes 2023 natures'!BB3</f>
        <v>0</v>
      </c>
      <c r="BC84" s="13">
        <f>'4.1 Comptes 2023 natures'!BC84/'4.1 Comptes 2023 natures'!BC3</f>
        <v>0.45703839122486289</v>
      </c>
      <c r="BD84" s="13">
        <f>'4.1 Comptes 2023 natures'!BD84/'4.1 Comptes 2023 natures'!BD3</f>
        <v>8.4938563073456028E-2</v>
      </c>
      <c r="BE84" s="13">
        <f>'4.1 Comptes 2023 natures'!BE84/'4.1 Comptes 2023 natures'!BE3</f>
        <v>5.2546646495209279E-2</v>
      </c>
      <c r="BF84" s="13">
        <f>'4.1 Comptes 2023 natures'!BF84/'4.1 Comptes 2023 natures'!BF3</f>
        <v>0.2656917671636122</v>
      </c>
      <c r="BG84" s="13">
        <f>'4.1 Comptes 2023 natures'!BG84/'4.1 Comptes 2023 natures'!BG3</f>
        <v>5.9531140945108182E-2</v>
      </c>
    </row>
    <row r="85" spans="2:59" x14ac:dyDescent="0.2">
      <c r="C85" s="8">
        <v>411</v>
      </c>
      <c r="D85" s="8" t="s">
        <v>140</v>
      </c>
      <c r="E85" s="13">
        <f>'4.1 Comptes 2023 natures'!E85/'4.1 Comptes 2023 natures'!E3</f>
        <v>0</v>
      </c>
      <c r="F85" s="13">
        <f>'4.1 Comptes 2023 natures'!F85/'4.1 Comptes 2023 natures'!F3</f>
        <v>0</v>
      </c>
      <c r="G85" s="13">
        <f>'4.1 Comptes 2023 natures'!G85/'4.1 Comptes 2023 natures'!G3</f>
        <v>0</v>
      </c>
      <c r="H85" s="13">
        <f>'4.1 Comptes 2023 natures'!H85/'4.1 Comptes 2023 natures'!H3</f>
        <v>0</v>
      </c>
      <c r="I85" s="13">
        <f>'4.1 Comptes 2023 natures'!I85/'4.1 Comptes 2023 natures'!I3</f>
        <v>0</v>
      </c>
      <c r="J85" s="13">
        <f>'4.1 Comptes 2023 natures'!J85/'4.1 Comptes 2023 natures'!J3</f>
        <v>0</v>
      </c>
      <c r="K85" s="13">
        <f>'4.1 Comptes 2023 natures'!K85/'4.1 Comptes 2023 natures'!K3</f>
        <v>0</v>
      </c>
      <c r="L85" s="13">
        <f>'4.1 Comptes 2023 natures'!L85/'4.1 Comptes 2023 natures'!L3</f>
        <v>0</v>
      </c>
      <c r="M85" s="13">
        <f>'4.1 Comptes 2023 natures'!M85/'4.1 Comptes 2023 natures'!M3</f>
        <v>0</v>
      </c>
      <c r="N85" s="13">
        <f>'4.1 Comptes 2023 natures'!N85/'4.1 Comptes 2023 natures'!N3</f>
        <v>0</v>
      </c>
      <c r="O85" s="13">
        <f>'4.1 Comptes 2023 natures'!O85/'4.1 Comptes 2023 natures'!O3</f>
        <v>0</v>
      </c>
      <c r="P85" s="13">
        <f>'4.1 Comptes 2023 natures'!P85/'4.1 Comptes 2023 natures'!P3</f>
        <v>0</v>
      </c>
      <c r="Q85" s="13">
        <f>'4.1 Comptes 2023 natures'!Q85/'4.1 Comptes 2023 natures'!Q3</f>
        <v>0</v>
      </c>
      <c r="R85" s="13">
        <f>'4.1 Comptes 2023 natures'!R85/'4.1 Comptes 2023 natures'!R3</f>
        <v>0</v>
      </c>
      <c r="S85" s="13">
        <f>'4.1 Comptes 2023 natures'!S85/'4.1 Comptes 2023 natures'!S3</f>
        <v>0</v>
      </c>
      <c r="T85" s="13">
        <f>'4.1 Comptes 2023 natures'!T85/'4.1 Comptes 2023 natures'!T3</f>
        <v>0</v>
      </c>
      <c r="U85" s="13">
        <f>'4.1 Comptes 2023 natures'!U85/'4.1 Comptes 2023 natures'!U3</f>
        <v>0</v>
      </c>
      <c r="V85" s="13">
        <f>'4.1 Comptes 2023 natures'!V85/'4.1 Comptes 2023 natures'!V3</f>
        <v>0</v>
      </c>
      <c r="W85" s="13">
        <f>'4.1 Comptes 2023 natures'!W85/'4.1 Comptes 2023 natures'!W3</f>
        <v>0</v>
      </c>
      <c r="X85" s="13">
        <f>'4.1 Comptes 2023 natures'!X85/'4.1 Comptes 2023 natures'!X3</f>
        <v>0</v>
      </c>
      <c r="Y85" s="13">
        <f>'4.1 Comptes 2023 natures'!Y85/'4.1 Comptes 2023 natures'!Y3</f>
        <v>0</v>
      </c>
      <c r="Z85" s="13">
        <f>'4.1 Comptes 2023 natures'!Z85/'4.1 Comptes 2023 natures'!Z3</f>
        <v>0</v>
      </c>
      <c r="AA85" s="13">
        <f>'4.1 Comptes 2023 natures'!AA85/'4.1 Comptes 2023 natures'!AA3</f>
        <v>0</v>
      </c>
      <c r="AB85" s="13">
        <f>'4.1 Comptes 2023 natures'!AB85/'4.1 Comptes 2023 natures'!AB3</f>
        <v>0</v>
      </c>
      <c r="AC85" s="13">
        <f>'4.1 Comptes 2023 natures'!AC85/'4.1 Comptes 2023 natures'!AC3</f>
        <v>0</v>
      </c>
      <c r="AD85" s="13">
        <f>'4.1 Comptes 2023 natures'!AD85/'4.1 Comptes 2023 natures'!AD3</f>
        <v>0</v>
      </c>
      <c r="AE85" s="13">
        <f>'4.1 Comptes 2023 natures'!AE85/'4.1 Comptes 2023 natures'!AE3</f>
        <v>0</v>
      </c>
      <c r="AF85" s="13">
        <f>'4.1 Comptes 2023 natures'!AF85/'4.1 Comptes 2023 natures'!AF3</f>
        <v>0</v>
      </c>
      <c r="AG85" s="13">
        <f>'4.1 Comptes 2023 natures'!AG85/'4.1 Comptes 2023 natures'!AG3</f>
        <v>0</v>
      </c>
      <c r="AH85" s="13">
        <f>'4.1 Comptes 2023 natures'!AH85/'4.1 Comptes 2023 natures'!AH3</f>
        <v>0</v>
      </c>
      <c r="AI85" s="13">
        <f>'4.1 Comptes 2023 natures'!AI85/'4.1 Comptes 2023 natures'!AI3</f>
        <v>0</v>
      </c>
      <c r="AJ85" s="13">
        <f>'4.1 Comptes 2023 natures'!AJ85/'4.1 Comptes 2023 natures'!AJ3</f>
        <v>0</v>
      </c>
      <c r="AK85" s="13">
        <f>'4.1 Comptes 2023 natures'!AK85/'4.1 Comptes 2023 natures'!AK3</f>
        <v>0</v>
      </c>
      <c r="AL85" s="13">
        <f>'4.1 Comptes 2023 natures'!AL85/'4.1 Comptes 2023 natures'!AL3</f>
        <v>0</v>
      </c>
      <c r="AM85" s="13">
        <f>'4.1 Comptes 2023 natures'!AM85/'4.1 Comptes 2023 natures'!AM3</f>
        <v>0</v>
      </c>
      <c r="AN85" s="13">
        <f>'4.1 Comptes 2023 natures'!AN85/'4.1 Comptes 2023 natures'!AN3</f>
        <v>0</v>
      </c>
      <c r="AO85" s="13">
        <f>'4.1 Comptes 2023 natures'!AO85/'4.1 Comptes 2023 natures'!AO3</f>
        <v>0</v>
      </c>
      <c r="AP85" s="13">
        <f>'4.1 Comptes 2023 natures'!AP85/'4.1 Comptes 2023 natures'!AP3</f>
        <v>0</v>
      </c>
      <c r="AQ85" s="13">
        <f>'4.1 Comptes 2023 natures'!AQ85/'4.1 Comptes 2023 natures'!AQ3</f>
        <v>0</v>
      </c>
      <c r="AR85" s="13">
        <f>'4.1 Comptes 2023 natures'!AR85/'4.1 Comptes 2023 natures'!AR3</f>
        <v>0</v>
      </c>
      <c r="AS85" s="13">
        <f>'4.1 Comptes 2023 natures'!AS85/'4.1 Comptes 2023 natures'!AS3</f>
        <v>0</v>
      </c>
      <c r="AT85" s="13">
        <f>'4.1 Comptes 2023 natures'!AT85/'4.1 Comptes 2023 natures'!AT3</f>
        <v>0</v>
      </c>
      <c r="AU85" s="13">
        <f>'4.1 Comptes 2023 natures'!AU85/'4.1 Comptes 2023 natures'!AU3</f>
        <v>0</v>
      </c>
      <c r="AV85" s="13">
        <f>'4.1 Comptes 2023 natures'!AV85/'4.1 Comptes 2023 natures'!AV3</f>
        <v>0</v>
      </c>
      <c r="AW85" s="13">
        <f>'4.1 Comptes 2023 natures'!AW85/'4.1 Comptes 2023 natures'!AW3</f>
        <v>0</v>
      </c>
      <c r="AX85" s="13">
        <f>'4.1 Comptes 2023 natures'!AX85/'4.1 Comptes 2023 natures'!AX3</f>
        <v>0</v>
      </c>
      <c r="AY85" s="13">
        <f>'4.1 Comptes 2023 natures'!AY85/'4.1 Comptes 2023 natures'!AY3</f>
        <v>0</v>
      </c>
      <c r="AZ85" s="13">
        <f>'4.1 Comptes 2023 natures'!AZ85/'4.1 Comptes 2023 natures'!AZ3</f>
        <v>0</v>
      </c>
      <c r="BA85" s="13">
        <f>'4.1 Comptes 2023 natures'!BA85/'4.1 Comptes 2023 natures'!BA3</f>
        <v>0</v>
      </c>
      <c r="BB85" s="13">
        <f>'4.1 Comptes 2023 natures'!BB85/'4.1 Comptes 2023 natures'!BB3</f>
        <v>0</v>
      </c>
      <c r="BC85" s="13">
        <f>'4.1 Comptes 2023 natures'!BC85/'4.1 Comptes 2023 natures'!BC3</f>
        <v>0</v>
      </c>
      <c r="BD85" s="13">
        <f>SUM(E85:BC85)</f>
        <v>0</v>
      </c>
      <c r="BE85" s="13">
        <f>SUM(E85:W85)</f>
        <v>0</v>
      </c>
      <c r="BF85" s="13">
        <f>SUM(X85:AI85)</f>
        <v>0</v>
      </c>
      <c r="BG85" s="13">
        <f>SUM(AJ85:BC85)</f>
        <v>0</v>
      </c>
    </row>
    <row r="86" spans="2:59" x14ac:dyDescent="0.2">
      <c r="C86" s="8">
        <v>412</v>
      </c>
      <c r="D86" s="8" t="s">
        <v>141</v>
      </c>
      <c r="E86" s="13">
        <f>'4.1 Comptes 2023 natures'!E86/'4.1 Comptes 2023 natures'!E3</f>
        <v>0</v>
      </c>
      <c r="F86" s="13">
        <f>'4.1 Comptes 2023 natures'!F86/'4.1 Comptes 2023 natures'!F3</f>
        <v>45.098659003831415</v>
      </c>
      <c r="G86" s="13">
        <f>'4.1 Comptes 2023 natures'!G86/'4.1 Comptes 2023 natures'!G3</f>
        <v>0</v>
      </c>
      <c r="H86" s="13">
        <f>'4.1 Comptes 2023 natures'!H86/'4.1 Comptes 2023 natures'!H3</f>
        <v>0</v>
      </c>
      <c r="I86" s="13">
        <f>'4.1 Comptes 2023 natures'!I86/'4.1 Comptes 2023 natures'!I3</f>
        <v>1.2952686119443686</v>
      </c>
      <c r="J86" s="13">
        <f>'4.1 Comptes 2023 natures'!J86/'4.1 Comptes 2023 natures'!J3</f>
        <v>0</v>
      </c>
      <c r="K86" s="13">
        <f>'4.1 Comptes 2023 natures'!K86/'4.1 Comptes 2023 natures'!K3</f>
        <v>0</v>
      </c>
      <c r="L86" s="13">
        <f>'4.1 Comptes 2023 natures'!L86/'4.1 Comptes 2023 natures'!L3</f>
        <v>0</v>
      </c>
      <c r="M86" s="13">
        <f>'4.1 Comptes 2023 natures'!M86/'4.1 Comptes 2023 natures'!M3</f>
        <v>36.616946064139938</v>
      </c>
      <c r="N86" s="13">
        <f>'4.1 Comptes 2023 natures'!N86/'4.1 Comptes 2023 natures'!N3</f>
        <v>0</v>
      </c>
      <c r="O86" s="13">
        <f>'4.1 Comptes 2023 natures'!O86/'4.1 Comptes 2023 natures'!O3</f>
        <v>8.9413950013583268</v>
      </c>
      <c r="P86" s="13">
        <f>'4.1 Comptes 2023 natures'!P86/'4.1 Comptes 2023 natures'!P3</f>
        <v>20.065420560747665</v>
      </c>
      <c r="Q86" s="13">
        <f>'4.1 Comptes 2023 natures'!Q86/'4.1 Comptes 2023 natures'!Q3</f>
        <v>0</v>
      </c>
      <c r="R86" s="13">
        <f>'4.1 Comptes 2023 natures'!R86/'4.1 Comptes 2023 natures'!R3</f>
        <v>0</v>
      </c>
      <c r="S86" s="13">
        <f>'4.1 Comptes 2023 natures'!S86/'4.1 Comptes 2023 natures'!S3</f>
        <v>24.719914040114613</v>
      </c>
      <c r="T86" s="13">
        <f>'4.1 Comptes 2023 natures'!T86/'4.1 Comptes 2023 natures'!T3</f>
        <v>0</v>
      </c>
      <c r="U86" s="13">
        <f>'4.1 Comptes 2023 natures'!U86/'4.1 Comptes 2023 natures'!U3</f>
        <v>0</v>
      </c>
      <c r="V86" s="13">
        <f>'4.1 Comptes 2023 natures'!V86/'4.1 Comptes 2023 natures'!V3</f>
        <v>0</v>
      </c>
      <c r="W86" s="13">
        <f>'4.1 Comptes 2023 natures'!W86/'4.1 Comptes 2023 natures'!W3</f>
        <v>2.2126032425818294</v>
      </c>
      <c r="X86" s="13">
        <f>'4.1 Comptes 2023 natures'!X86/'4.1 Comptes 2023 natures'!X3</f>
        <v>0</v>
      </c>
      <c r="Y86" s="13">
        <f>'4.1 Comptes 2023 natures'!Y86/'4.1 Comptes 2023 natures'!Y3</f>
        <v>0</v>
      </c>
      <c r="Z86" s="13">
        <f>'4.1 Comptes 2023 natures'!Z86/'4.1 Comptes 2023 natures'!Z3</f>
        <v>385.79604141291105</v>
      </c>
      <c r="AA86" s="13">
        <f>'4.1 Comptes 2023 natures'!AA86/'4.1 Comptes 2023 natures'!AA3</f>
        <v>1.9597315436241611</v>
      </c>
      <c r="AB86" s="13">
        <f>'4.1 Comptes 2023 natures'!AB86/'4.1 Comptes 2023 natures'!AB3</f>
        <v>0</v>
      </c>
      <c r="AC86" s="13">
        <f>'4.1 Comptes 2023 natures'!AC86/'4.1 Comptes 2023 natures'!AC3</f>
        <v>0</v>
      </c>
      <c r="AD86" s="13">
        <f>'4.1 Comptes 2023 natures'!AD86/'4.1 Comptes 2023 natures'!AD3</f>
        <v>0</v>
      </c>
      <c r="AE86" s="13">
        <f>'4.1 Comptes 2023 natures'!AE86/'4.1 Comptes 2023 natures'!AE3</f>
        <v>33.214566929133859</v>
      </c>
      <c r="AF86" s="13">
        <f>'4.1 Comptes 2023 natures'!AF86/'4.1 Comptes 2023 natures'!AF3</f>
        <v>1.5329586101175268</v>
      </c>
      <c r="AG86" s="13">
        <f>'4.1 Comptes 2023 natures'!AG86/'4.1 Comptes 2023 natures'!AG3</f>
        <v>32.495327102803735</v>
      </c>
      <c r="AH86" s="13">
        <f>'4.1 Comptes 2023 natures'!AH86/'4.1 Comptes 2023 natures'!AH3</f>
        <v>107.34707112970712</v>
      </c>
      <c r="AI86" s="13">
        <f>'4.1 Comptes 2023 natures'!AI86/'4.1 Comptes 2023 natures'!AI3</f>
        <v>65.824799999999996</v>
      </c>
      <c r="AJ86" s="13">
        <f>'4.1 Comptes 2023 natures'!AJ86/'4.1 Comptes 2023 natures'!AJ3</f>
        <v>0</v>
      </c>
      <c r="AK86" s="13">
        <f>'4.1 Comptes 2023 natures'!AK86/'4.1 Comptes 2023 natures'!AK3</f>
        <v>0</v>
      </c>
      <c r="AL86" s="13">
        <f>'4.1 Comptes 2023 natures'!AL86/'4.1 Comptes 2023 natures'!AL3</f>
        <v>0</v>
      </c>
      <c r="AM86" s="13">
        <f>'4.1 Comptes 2023 natures'!AM86/'4.1 Comptes 2023 natures'!AM3</f>
        <v>0</v>
      </c>
      <c r="AN86" s="13">
        <f>'4.1 Comptes 2023 natures'!AN86/'4.1 Comptes 2023 natures'!AN3</f>
        <v>0</v>
      </c>
      <c r="AO86" s="13">
        <f>'4.1 Comptes 2023 natures'!AO86/'4.1 Comptes 2023 natures'!AO3</f>
        <v>0</v>
      </c>
      <c r="AP86" s="13">
        <f>'4.1 Comptes 2023 natures'!AP86/'4.1 Comptes 2023 natures'!AP3</f>
        <v>0</v>
      </c>
      <c r="AQ86" s="13">
        <f>'4.1 Comptes 2023 natures'!AQ86/'4.1 Comptes 2023 natures'!AQ3</f>
        <v>0.23647604327666152</v>
      </c>
      <c r="AR86" s="13">
        <f>'4.1 Comptes 2023 natures'!AR86/'4.1 Comptes 2023 natures'!AR3</f>
        <v>6.2070041608876556</v>
      </c>
      <c r="AS86" s="13">
        <f>'4.1 Comptes 2023 natures'!AS86/'4.1 Comptes 2023 natures'!AS3</f>
        <v>55.244150943396228</v>
      </c>
      <c r="AT86" s="13">
        <f>'4.1 Comptes 2023 natures'!AT86/'4.1 Comptes 2023 natures'!AT3</f>
        <v>0</v>
      </c>
      <c r="AU86" s="13">
        <f>'4.1 Comptes 2023 natures'!AU86/'4.1 Comptes 2023 natures'!AU3</f>
        <v>3.4651447207501018</v>
      </c>
      <c r="AV86" s="13">
        <f>'4.1 Comptes 2023 natures'!AV86/'4.1 Comptes 2023 natures'!AV3</f>
        <v>0</v>
      </c>
      <c r="AW86" s="13">
        <f>'4.1 Comptes 2023 natures'!AW86/'4.1 Comptes 2023 natures'!AW3</f>
        <v>22.231404958677686</v>
      </c>
      <c r="AX86" s="13">
        <f>'4.1 Comptes 2023 natures'!AX86/'4.1 Comptes 2023 natures'!AX3</f>
        <v>0</v>
      </c>
      <c r="AY86" s="13">
        <f>'4.1 Comptes 2023 natures'!AY86/'4.1 Comptes 2023 natures'!AY3</f>
        <v>3.3489374620522159</v>
      </c>
      <c r="AZ86" s="13">
        <f>'4.1 Comptes 2023 natures'!AZ86/'4.1 Comptes 2023 natures'!AZ3</f>
        <v>0</v>
      </c>
      <c r="BA86" s="13">
        <f>'4.1 Comptes 2023 natures'!BA86/'4.1 Comptes 2023 natures'!BA3</f>
        <v>60.237606433301799</v>
      </c>
      <c r="BB86" s="13">
        <f>'4.1 Comptes 2023 natures'!BB86/'4.1 Comptes 2023 natures'!BB3</f>
        <v>0.3575215876382366</v>
      </c>
      <c r="BC86" s="13">
        <f>'4.1 Comptes 2023 natures'!BC86/'4.1 Comptes 2023 natures'!BC3</f>
        <v>0</v>
      </c>
      <c r="BD86" s="13">
        <f>SUM(E86:BC86)</f>
        <v>918.44894956299595</v>
      </c>
      <c r="BE86" s="13">
        <f>SUM(E86:W86)</f>
        <v>138.95020652471814</v>
      </c>
      <c r="BF86" s="13">
        <f>SUM(X86:AI86)</f>
        <v>628.17049672829751</v>
      </c>
      <c r="BG86" s="13">
        <f>SUM(AJ86:BC86)</f>
        <v>151.32824630998059</v>
      </c>
    </row>
    <row r="87" spans="2:59" x14ac:dyDescent="0.2">
      <c r="C87" s="8">
        <v>413</v>
      </c>
      <c r="D87" s="8" t="s">
        <v>142</v>
      </c>
      <c r="E87" s="13">
        <f>'4.1 Comptes 2023 natures'!E87/'4.1 Comptes 2023 natures'!E3</f>
        <v>0</v>
      </c>
      <c r="F87" s="13">
        <f>'4.1 Comptes 2023 natures'!F87/'4.1 Comptes 2023 natures'!F3</f>
        <v>0</v>
      </c>
      <c r="G87" s="13">
        <f>'4.1 Comptes 2023 natures'!G87/'4.1 Comptes 2023 natures'!G3</f>
        <v>0</v>
      </c>
      <c r="H87" s="13">
        <f>'4.1 Comptes 2023 natures'!H87/'4.1 Comptes 2023 natures'!H3</f>
        <v>0</v>
      </c>
      <c r="I87" s="13">
        <f>'4.1 Comptes 2023 natures'!I87/'4.1 Comptes 2023 natures'!I3</f>
        <v>0</v>
      </c>
      <c r="J87" s="13">
        <f>'4.1 Comptes 2023 natures'!J87/'4.1 Comptes 2023 natures'!J3</f>
        <v>0</v>
      </c>
      <c r="K87" s="13">
        <f>'4.1 Comptes 2023 natures'!K87/'4.1 Comptes 2023 natures'!K3</f>
        <v>0</v>
      </c>
      <c r="L87" s="13">
        <f>'4.1 Comptes 2023 natures'!L87/'4.1 Comptes 2023 natures'!L3</f>
        <v>0</v>
      </c>
      <c r="M87" s="13">
        <f>'4.1 Comptes 2023 natures'!M87/'4.1 Comptes 2023 natures'!M3</f>
        <v>0</v>
      </c>
      <c r="N87" s="13">
        <f>'4.1 Comptes 2023 natures'!N87/'4.1 Comptes 2023 natures'!N3</f>
        <v>0</v>
      </c>
      <c r="O87" s="13">
        <f>'4.1 Comptes 2023 natures'!O87/'4.1 Comptes 2023 natures'!O3</f>
        <v>0</v>
      </c>
      <c r="P87" s="13">
        <f>'4.1 Comptes 2023 natures'!P87/'4.1 Comptes 2023 natures'!P3</f>
        <v>0</v>
      </c>
      <c r="Q87" s="13">
        <f>'4.1 Comptes 2023 natures'!Q87/'4.1 Comptes 2023 natures'!Q3</f>
        <v>0</v>
      </c>
      <c r="R87" s="13">
        <f>'4.1 Comptes 2023 natures'!R87/'4.1 Comptes 2023 natures'!R3</f>
        <v>0</v>
      </c>
      <c r="S87" s="13">
        <f>'4.1 Comptes 2023 natures'!S87/'4.1 Comptes 2023 natures'!S3</f>
        <v>0</v>
      </c>
      <c r="T87" s="13">
        <f>'4.1 Comptes 2023 natures'!T87/'4.1 Comptes 2023 natures'!T3</f>
        <v>0</v>
      </c>
      <c r="U87" s="13">
        <f>'4.1 Comptes 2023 natures'!U87/'4.1 Comptes 2023 natures'!U3</f>
        <v>0</v>
      </c>
      <c r="V87" s="13">
        <f>'4.1 Comptes 2023 natures'!V87/'4.1 Comptes 2023 natures'!V3</f>
        <v>0</v>
      </c>
      <c r="W87" s="13">
        <f>'4.1 Comptes 2023 natures'!W87/'4.1 Comptes 2023 natures'!W3</f>
        <v>0</v>
      </c>
      <c r="X87" s="13">
        <f>'4.1 Comptes 2023 natures'!X87/'4.1 Comptes 2023 natures'!X3</f>
        <v>0</v>
      </c>
      <c r="Y87" s="13">
        <f>'4.1 Comptes 2023 natures'!Y87/'4.1 Comptes 2023 natures'!Y3</f>
        <v>0</v>
      </c>
      <c r="Z87" s="13">
        <f>'4.1 Comptes 2023 natures'!Z87/'4.1 Comptes 2023 natures'!Z3</f>
        <v>0</v>
      </c>
      <c r="AA87" s="13">
        <f>'4.1 Comptes 2023 natures'!AA87/'4.1 Comptes 2023 natures'!AA3</f>
        <v>0</v>
      </c>
      <c r="AB87" s="13">
        <f>'4.1 Comptes 2023 natures'!AB87/'4.1 Comptes 2023 natures'!AB3</f>
        <v>0</v>
      </c>
      <c r="AC87" s="13">
        <f>'4.1 Comptes 2023 natures'!AC87/'4.1 Comptes 2023 natures'!AC3</f>
        <v>0</v>
      </c>
      <c r="AD87" s="13">
        <f>'4.1 Comptes 2023 natures'!AD87/'4.1 Comptes 2023 natures'!AD3</f>
        <v>0</v>
      </c>
      <c r="AE87" s="13">
        <f>'4.1 Comptes 2023 natures'!AE87/'4.1 Comptes 2023 natures'!AE3</f>
        <v>0</v>
      </c>
      <c r="AF87" s="13">
        <f>'4.1 Comptes 2023 natures'!AF87/'4.1 Comptes 2023 natures'!AF3</f>
        <v>0</v>
      </c>
      <c r="AG87" s="13">
        <f>'4.1 Comptes 2023 natures'!AG87/'4.1 Comptes 2023 natures'!AG3</f>
        <v>0</v>
      </c>
      <c r="AH87" s="13">
        <f>'4.1 Comptes 2023 natures'!AH87/'4.1 Comptes 2023 natures'!AH3</f>
        <v>0</v>
      </c>
      <c r="AI87" s="13">
        <f>'4.1 Comptes 2023 natures'!AI87/'4.1 Comptes 2023 natures'!AI3</f>
        <v>0</v>
      </c>
      <c r="AJ87" s="13">
        <f>'4.1 Comptes 2023 natures'!AJ87/'4.1 Comptes 2023 natures'!AJ3</f>
        <v>0</v>
      </c>
      <c r="AK87" s="13">
        <f>'4.1 Comptes 2023 natures'!AK87/'4.1 Comptes 2023 natures'!AK3</f>
        <v>0</v>
      </c>
      <c r="AL87" s="13">
        <f>'4.1 Comptes 2023 natures'!AL87/'4.1 Comptes 2023 natures'!AL3</f>
        <v>0</v>
      </c>
      <c r="AM87" s="13">
        <f>'4.1 Comptes 2023 natures'!AM87/'4.1 Comptes 2023 natures'!AM3</f>
        <v>0</v>
      </c>
      <c r="AN87" s="13">
        <f>'4.1 Comptes 2023 natures'!AN87/'4.1 Comptes 2023 natures'!AN3</f>
        <v>0</v>
      </c>
      <c r="AO87" s="13">
        <f>'4.1 Comptes 2023 natures'!AO87/'4.1 Comptes 2023 natures'!AO3</f>
        <v>0</v>
      </c>
      <c r="AP87" s="13">
        <f>'4.1 Comptes 2023 natures'!AP87/'4.1 Comptes 2023 natures'!AP3</f>
        <v>0</v>
      </c>
      <c r="AQ87" s="13">
        <f>'4.1 Comptes 2023 natures'!AQ87/'4.1 Comptes 2023 natures'!AQ3</f>
        <v>0</v>
      </c>
      <c r="AR87" s="13">
        <f>'4.1 Comptes 2023 natures'!AR87/'4.1 Comptes 2023 natures'!AR3</f>
        <v>0</v>
      </c>
      <c r="AS87" s="13">
        <f>'4.1 Comptes 2023 natures'!AS87/'4.1 Comptes 2023 natures'!AS3</f>
        <v>0</v>
      </c>
      <c r="AT87" s="13">
        <f>'4.1 Comptes 2023 natures'!AT87/'4.1 Comptes 2023 natures'!AT3</f>
        <v>0</v>
      </c>
      <c r="AU87" s="13">
        <f>'4.1 Comptes 2023 natures'!AU87/'4.1 Comptes 2023 natures'!AU3</f>
        <v>0</v>
      </c>
      <c r="AV87" s="13">
        <f>'4.1 Comptes 2023 natures'!AV87/'4.1 Comptes 2023 natures'!AV3</f>
        <v>0</v>
      </c>
      <c r="AW87" s="13">
        <f>'4.1 Comptes 2023 natures'!AW87/'4.1 Comptes 2023 natures'!AW3</f>
        <v>0</v>
      </c>
      <c r="AX87" s="13">
        <f>'4.1 Comptes 2023 natures'!AX87/'4.1 Comptes 2023 natures'!AX3</f>
        <v>0</v>
      </c>
      <c r="AY87" s="13">
        <f>'4.1 Comptes 2023 natures'!AY87/'4.1 Comptes 2023 natures'!AY3</f>
        <v>0</v>
      </c>
      <c r="AZ87" s="13">
        <f>'4.1 Comptes 2023 natures'!AZ87/'4.1 Comptes 2023 natures'!AZ3</f>
        <v>0</v>
      </c>
      <c r="BA87" s="13">
        <f>'4.1 Comptes 2023 natures'!BA87/'4.1 Comptes 2023 natures'!BA3</f>
        <v>0</v>
      </c>
      <c r="BB87" s="13">
        <f>'4.1 Comptes 2023 natures'!BB87/'4.1 Comptes 2023 natures'!BB3</f>
        <v>0</v>
      </c>
      <c r="BC87" s="13">
        <f>'4.1 Comptes 2023 natures'!BC87/'4.1 Comptes 2023 natures'!BC3</f>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755.95776274713842</v>
      </c>
      <c r="F89" s="78">
        <f t="shared" ref="F89:BG89" si="13">F90+F91+F92+F93+F94+F95+F96+F97+F98</f>
        <v>844.33390804597707</v>
      </c>
      <c r="G89" s="78">
        <f t="shared" si="13"/>
        <v>574.2542510121458</v>
      </c>
      <c r="H89" s="78">
        <f t="shared" si="13"/>
        <v>1750.1073258426966</v>
      </c>
      <c r="I89" s="78">
        <f t="shared" si="13"/>
        <v>1218.2703763294248</v>
      </c>
      <c r="J89" s="78">
        <f t="shared" si="13"/>
        <v>1007.4793639575971</v>
      </c>
      <c r="K89" s="78">
        <f t="shared" si="13"/>
        <v>706.82230543318656</v>
      </c>
      <c r="L89" s="78">
        <f t="shared" si="13"/>
        <v>3472.5307371065228</v>
      </c>
      <c r="M89" s="78">
        <f t="shared" si="13"/>
        <v>2083.5719241982506</v>
      </c>
      <c r="N89" s="78">
        <f t="shared" si="13"/>
        <v>426.81324786324785</v>
      </c>
      <c r="O89" s="78">
        <f t="shared" si="13"/>
        <v>672.99986960065189</v>
      </c>
      <c r="P89" s="78">
        <f t="shared" si="13"/>
        <v>426.16370093457942</v>
      </c>
      <c r="Q89" s="78">
        <f t="shared" si="13"/>
        <v>521.51205357142851</v>
      </c>
      <c r="R89" s="78">
        <f t="shared" si="13"/>
        <v>616.71619047619049</v>
      </c>
      <c r="S89" s="78">
        <f t="shared" si="13"/>
        <v>802.82426934097418</v>
      </c>
      <c r="T89" s="78">
        <f t="shared" si="13"/>
        <v>1341.7913096862212</v>
      </c>
      <c r="U89" s="78">
        <f t="shared" si="13"/>
        <v>720.09597069597078</v>
      </c>
      <c r="V89" s="78">
        <f t="shared" si="13"/>
        <v>555.12440835266818</v>
      </c>
      <c r="W89" s="78">
        <f t="shared" si="13"/>
        <v>525.51269807280516</v>
      </c>
      <c r="X89" s="78">
        <f t="shared" si="13"/>
        <v>1178.7750819672128</v>
      </c>
      <c r="Y89" s="78">
        <f t="shared" si="13"/>
        <v>953.90930511182091</v>
      </c>
      <c r="Z89" s="78">
        <f t="shared" si="13"/>
        <v>1155.41990864799</v>
      </c>
      <c r="AA89" s="78">
        <f t="shared" si="13"/>
        <v>1162.218322147651</v>
      </c>
      <c r="AB89" s="78">
        <f t="shared" si="13"/>
        <v>1470.835</v>
      </c>
      <c r="AC89" s="78">
        <f t="shared" si="13"/>
        <v>1035.2754507042252</v>
      </c>
      <c r="AD89" s="78">
        <f t="shared" si="13"/>
        <v>997.09360424028273</v>
      </c>
      <c r="AE89" s="78">
        <f t="shared" si="13"/>
        <v>1544.8684842519685</v>
      </c>
      <c r="AF89" s="78">
        <f t="shared" si="13"/>
        <v>961.11152273888604</v>
      </c>
      <c r="AG89" s="78">
        <f t="shared" si="13"/>
        <v>1168.8650934579437</v>
      </c>
      <c r="AH89" s="78">
        <f t="shared" si="13"/>
        <v>1171.4932217573221</v>
      </c>
      <c r="AI89" s="78">
        <f t="shared" si="13"/>
        <v>1164.5842400000001</v>
      </c>
      <c r="AJ89" s="78">
        <f t="shared" si="13"/>
        <v>754.50184583114833</v>
      </c>
      <c r="AK89" s="78">
        <f t="shared" si="13"/>
        <v>1033.9983686067019</v>
      </c>
      <c r="AL89" s="78">
        <f t="shared" si="13"/>
        <v>629.34181213632587</v>
      </c>
      <c r="AM89" s="78">
        <f t="shared" si="13"/>
        <v>1309.090625</v>
      </c>
      <c r="AN89" s="78">
        <f t="shared" si="13"/>
        <v>1059.5083603757471</v>
      </c>
      <c r="AO89" s="78">
        <f t="shared" si="13"/>
        <v>1365.8755877862593</v>
      </c>
      <c r="AP89" s="78">
        <f t="shared" si="13"/>
        <v>625.31694136291594</v>
      </c>
      <c r="AQ89" s="78">
        <f t="shared" si="13"/>
        <v>901.0420015455951</v>
      </c>
      <c r="AR89" s="78">
        <f t="shared" si="13"/>
        <v>777.56005547850214</v>
      </c>
      <c r="AS89" s="78">
        <f t="shared" si="13"/>
        <v>830.07988679245284</v>
      </c>
      <c r="AT89" s="78">
        <f t="shared" si="13"/>
        <v>745.04544585987253</v>
      </c>
      <c r="AU89" s="78">
        <f t="shared" si="13"/>
        <v>598.59351814105185</v>
      </c>
      <c r="AV89" s="78">
        <f t="shared" si="13"/>
        <v>680.63335917312668</v>
      </c>
      <c r="AW89" s="78">
        <f t="shared" si="13"/>
        <v>950.39256198347096</v>
      </c>
      <c r="AX89" s="78">
        <f t="shared" si="13"/>
        <v>694.86867469879519</v>
      </c>
      <c r="AY89" s="78">
        <f t="shared" si="13"/>
        <v>691.86728597449905</v>
      </c>
      <c r="AZ89" s="78">
        <f t="shared" si="13"/>
        <v>906.54981627296593</v>
      </c>
      <c r="BA89" s="78">
        <f t="shared" si="13"/>
        <v>1018.4344654683065</v>
      </c>
      <c r="BB89" s="78">
        <f t="shared" si="13"/>
        <v>1067.5487168610816</v>
      </c>
      <c r="BC89" s="78">
        <f t="shared" si="13"/>
        <v>833.55429616087758</v>
      </c>
      <c r="BD89" s="78">
        <f t="shared" si="13"/>
        <v>1512.316699485023</v>
      </c>
      <c r="BE89" s="78">
        <f t="shared" si="13"/>
        <v>1724.5535496466996</v>
      </c>
      <c r="BF89" s="78">
        <f t="shared" si="13"/>
        <v>1214.1809604065263</v>
      </c>
      <c r="BG89" s="78">
        <f t="shared" si="13"/>
        <v>912.15271024233425</v>
      </c>
    </row>
    <row r="90" spans="2:59" x14ac:dyDescent="0.2">
      <c r="C90" s="8">
        <v>420</v>
      </c>
      <c r="D90" s="8" t="s">
        <v>144</v>
      </c>
      <c r="E90" s="13">
        <f>'4.1 Comptes 2023 natures'!E90/'4.1 Comptes 2023 natures'!E3</f>
        <v>39.109625390218518</v>
      </c>
      <c r="F90" s="13">
        <f>'4.1 Comptes 2023 natures'!F90/'4.1 Comptes 2023 natures'!F3</f>
        <v>32.262452107279692</v>
      </c>
      <c r="G90" s="13">
        <f>'4.1 Comptes 2023 natures'!G90/'4.1 Comptes 2023 natures'!G3</f>
        <v>40.088056680161941</v>
      </c>
      <c r="H90" s="13">
        <f>'4.1 Comptes 2023 natures'!H90/'4.1 Comptes 2023 natures'!H3</f>
        <v>33.25179775280899</v>
      </c>
      <c r="I90" s="13">
        <f>'4.1 Comptes 2023 natures'!I90/'4.1 Comptes 2023 natures'!I3</f>
        <v>41.222770657212976</v>
      </c>
      <c r="J90" s="13">
        <f>'4.1 Comptes 2023 natures'!J90/'4.1 Comptes 2023 natures'!J3</f>
        <v>46.00942285041225</v>
      </c>
      <c r="K90" s="13">
        <f>'4.1 Comptes 2023 natures'!K90/'4.1 Comptes 2023 natures'!K3</f>
        <v>49.37850587371512</v>
      </c>
      <c r="L90" s="13">
        <f>'4.1 Comptes 2023 natures'!L90/'4.1 Comptes 2023 natures'!L3</f>
        <v>39.64420598163121</v>
      </c>
      <c r="M90" s="13">
        <f>'4.1 Comptes 2023 natures'!M90/'4.1 Comptes 2023 natures'!M3</f>
        <v>41.582179300291543</v>
      </c>
      <c r="N90" s="13">
        <f>'4.1 Comptes 2023 natures'!N90/'4.1 Comptes 2023 natures'!N3</f>
        <v>10.154273504273505</v>
      </c>
      <c r="O90" s="13">
        <f>'4.1 Comptes 2023 natures'!O90/'4.1 Comptes 2023 natures'!O3</f>
        <v>42.149212170605814</v>
      </c>
      <c r="P90" s="13">
        <f>'4.1 Comptes 2023 natures'!P90/'4.1 Comptes 2023 natures'!P3</f>
        <v>32.78850467289719</v>
      </c>
      <c r="Q90" s="13">
        <f>'4.1 Comptes 2023 natures'!Q90/'4.1 Comptes 2023 natures'!Q3</f>
        <v>26.491071428571427</v>
      </c>
      <c r="R90" s="13">
        <f>'4.1 Comptes 2023 natures'!R90/'4.1 Comptes 2023 natures'!R3</f>
        <v>35.119166666666665</v>
      </c>
      <c r="S90" s="13">
        <f>'4.1 Comptes 2023 natures'!S90/'4.1 Comptes 2023 natures'!S3</f>
        <v>33.173352435530084</v>
      </c>
      <c r="T90" s="13">
        <f>'4.1 Comptes 2023 natures'!T90/'4.1 Comptes 2023 natures'!T3</f>
        <v>58.286084583901768</v>
      </c>
      <c r="U90" s="13">
        <f>'4.1 Comptes 2023 natures'!U90/'4.1 Comptes 2023 natures'!U3</f>
        <v>39.797985347985346</v>
      </c>
      <c r="V90" s="13">
        <f>'4.1 Comptes 2023 natures'!V90/'4.1 Comptes 2023 natures'!V3</f>
        <v>40.369953596287708</v>
      </c>
      <c r="W90" s="13">
        <f>'4.1 Comptes 2023 natures'!W90/'4.1 Comptes 2023 natures'!W3</f>
        <v>35.694050168247173</v>
      </c>
      <c r="X90" s="13">
        <f>'4.1 Comptes 2023 natures'!X90/'4.1 Comptes 2023 natures'!X3</f>
        <v>29.866885245901639</v>
      </c>
      <c r="Y90" s="13">
        <f>'4.1 Comptes 2023 natures'!Y90/'4.1 Comptes 2023 natures'!Y3</f>
        <v>39.508067092651757</v>
      </c>
      <c r="Z90" s="13">
        <f>'4.1 Comptes 2023 natures'!Z90/'4.1 Comptes 2023 natures'!Z3</f>
        <v>42.493696711327644</v>
      </c>
      <c r="AA90" s="13">
        <f>'4.1 Comptes 2023 natures'!AA90/'4.1 Comptes 2023 natures'!AA3</f>
        <v>31.35234899328859</v>
      </c>
      <c r="AB90" s="13">
        <f>'4.1 Comptes 2023 natures'!AB90/'4.1 Comptes 2023 natures'!AB3</f>
        <v>34.989509803921571</v>
      </c>
      <c r="AC90" s="13">
        <f>'4.1 Comptes 2023 natures'!AC90/'4.1 Comptes 2023 natures'!AC3</f>
        <v>64.440140845070417</v>
      </c>
      <c r="AD90" s="13">
        <f>'4.1 Comptes 2023 natures'!AD90/'4.1 Comptes 2023 natures'!AD3</f>
        <v>35.227473498233216</v>
      </c>
      <c r="AE90" s="13">
        <f>'4.1 Comptes 2023 natures'!AE90/'4.1 Comptes 2023 natures'!AE3</f>
        <v>12.589862204724408</v>
      </c>
      <c r="AF90" s="13">
        <f>'4.1 Comptes 2023 natures'!AF90/'4.1 Comptes 2023 natures'!AF3</f>
        <v>46.394302503832392</v>
      </c>
      <c r="AG90" s="13">
        <f>'4.1 Comptes 2023 natures'!AG90/'4.1 Comptes 2023 natures'!AG3</f>
        <v>43.529692367601243</v>
      </c>
      <c r="AH90" s="13">
        <f>'4.1 Comptes 2023 natures'!AH90/'4.1 Comptes 2023 natures'!AH3</f>
        <v>27.929916317991633</v>
      </c>
      <c r="AI90" s="13">
        <f>'4.1 Comptes 2023 natures'!AI90/'4.1 Comptes 2023 natures'!AI3</f>
        <v>18.476800000000001</v>
      </c>
      <c r="AJ90" s="13">
        <f>'4.1 Comptes 2023 natures'!AJ90/'4.1 Comptes 2023 natures'!AJ3</f>
        <v>40.155479811221817</v>
      </c>
      <c r="AK90" s="13">
        <f>'4.1 Comptes 2023 natures'!AK90/'4.1 Comptes 2023 natures'!AK3</f>
        <v>23.788756613756615</v>
      </c>
      <c r="AL90" s="13">
        <f>'4.1 Comptes 2023 natures'!AL90/'4.1 Comptes 2023 natures'!AL3</f>
        <v>26.151330008312552</v>
      </c>
      <c r="AM90" s="13">
        <f>'4.1 Comptes 2023 natures'!AM90/'4.1 Comptes 2023 natures'!AM3</f>
        <v>21.556696428571428</v>
      </c>
      <c r="AN90" s="13">
        <f>'4.1 Comptes 2023 natures'!AN90/'4.1 Comptes 2023 natures'!AN3</f>
        <v>22.815200683176769</v>
      </c>
      <c r="AO90" s="13">
        <f>'4.1 Comptes 2023 natures'!AO90/'4.1 Comptes 2023 natures'!AO3</f>
        <v>19.19969465648855</v>
      </c>
      <c r="AP90" s="13">
        <f>'4.1 Comptes 2023 natures'!AP90/'4.1 Comptes 2023 natures'!AP3</f>
        <v>28.582408874801903</v>
      </c>
      <c r="AQ90" s="13">
        <f>'4.1 Comptes 2023 natures'!AQ90/'4.1 Comptes 2023 natures'!AQ3</f>
        <v>29.734234930448221</v>
      </c>
      <c r="AR90" s="13">
        <f>'4.1 Comptes 2023 natures'!AR90/'4.1 Comptes 2023 natures'!AR3</f>
        <v>42.198196948682387</v>
      </c>
      <c r="AS90" s="13">
        <f>'4.1 Comptes 2023 natures'!AS90/'4.1 Comptes 2023 natures'!AS3</f>
        <v>35.342783018867927</v>
      </c>
      <c r="AT90" s="13">
        <f>'4.1 Comptes 2023 natures'!AT90/'4.1 Comptes 2023 natures'!AT3</f>
        <v>30.071974522292994</v>
      </c>
      <c r="AU90" s="13">
        <f>'4.1 Comptes 2023 natures'!AU90/'4.1 Comptes 2023 natures'!AU3</f>
        <v>0</v>
      </c>
      <c r="AV90" s="13">
        <f>'4.1 Comptes 2023 natures'!AV90/'4.1 Comptes 2023 natures'!AV3</f>
        <v>27.711111111111112</v>
      </c>
      <c r="AW90" s="13">
        <f>'4.1 Comptes 2023 natures'!AW90/'4.1 Comptes 2023 natures'!AW3</f>
        <v>26.72038567493113</v>
      </c>
      <c r="AX90" s="13">
        <f>'4.1 Comptes 2023 natures'!AX90/'4.1 Comptes 2023 natures'!AX3</f>
        <v>17.787048192771085</v>
      </c>
      <c r="AY90" s="13">
        <f>'4.1 Comptes 2023 natures'!AY90/'4.1 Comptes 2023 natures'!AY3</f>
        <v>33.744839101396479</v>
      </c>
      <c r="AZ90" s="13">
        <f>'4.1 Comptes 2023 natures'!AZ90/'4.1 Comptes 2023 natures'!AZ3</f>
        <v>23.419160104986879</v>
      </c>
      <c r="BA90" s="13">
        <f>'4.1 Comptes 2023 natures'!BA90/'4.1 Comptes 2023 natures'!BA3</f>
        <v>28.569299905392622</v>
      </c>
      <c r="BB90" s="13">
        <f>'4.1 Comptes 2023 natures'!BB90/'4.1 Comptes 2023 natures'!BB3</f>
        <v>31.115384032722314</v>
      </c>
      <c r="BC90" s="13">
        <f>'4.1 Comptes 2023 natures'!BC90/'4.1 Comptes 2023 natures'!BC3</f>
        <v>25.660877513711153</v>
      </c>
      <c r="BD90" s="13">
        <f>'4.1 Comptes 2023 natures'!BD90/'4.1 Comptes 2023 natures'!BD3</f>
        <v>36.578555293233883</v>
      </c>
      <c r="BE90" s="13">
        <f>'4.1 Comptes 2023 natures'!BE90/'4.1 Comptes 2023 natures'!BE3</f>
        <v>41.114509329299047</v>
      </c>
      <c r="BF90" s="13">
        <f>'4.1 Comptes 2023 natures'!BF90/'4.1 Comptes 2023 natures'!BF3</f>
        <v>41.260464343367197</v>
      </c>
      <c r="BG90" s="13">
        <f>'4.1 Comptes 2023 natures'!BG90/'4.1 Comptes 2023 natures'!BG3</f>
        <v>27.168483392864474</v>
      </c>
    </row>
    <row r="91" spans="2:59" x14ac:dyDescent="0.2">
      <c r="C91" s="8">
        <v>421</v>
      </c>
      <c r="D91" s="8" t="s">
        <v>145</v>
      </c>
      <c r="E91" s="13">
        <f>'4.1 Comptes 2023 natures'!E91/'4.1 Comptes 2023 natures'!E3</f>
        <v>13.103465140478669</v>
      </c>
      <c r="F91" s="13">
        <f>'4.1 Comptes 2023 natures'!F91/'4.1 Comptes 2023 natures'!F3</f>
        <v>11.951340996168582</v>
      </c>
      <c r="G91" s="13">
        <f>'4.1 Comptes 2023 natures'!G91/'4.1 Comptes 2023 natures'!G3</f>
        <v>3.2596153846153846</v>
      </c>
      <c r="H91" s="13">
        <f>'4.1 Comptes 2023 natures'!H91/'4.1 Comptes 2023 natures'!H3</f>
        <v>25.75191011235955</v>
      </c>
      <c r="I91" s="13">
        <f>'4.1 Comptes 2023 natures'!I91/'4.1 Comptes 2023 natures'!I3</f>
        <v>26.087504772293428</v>
      </c>
      <c r="J91" s="13">
        <f>'4.1 Comptes 2023 natures'!J91/'4.1 Comptes 2023 natures'!J3</f>
        <v>12.905633097762072</v>
      </c>
      <c r="K91" s="13">
        <f>'4.1 Comptes 2023 natures'!K91/'4.1 Comptes 2023 natures'!K3</f>
        <v>13.164757709251102</v>
      </c>
      <c r="L91" s="13">
        <f>'4.1 Comptes 2023 natures'!L91/'4.1 Comptes 2023 natures'!L3</f>
        <v>77.854784519978026</v>
      </c>
      <c r="M91" s="13">
        <f>'4.1 Comptes 2023 natures'!M91/'4.1 Comptes 2023 natures'!M3</f>
        <v>13.497849854227404</v>
      </c>
      <c r="N91" s="13">
        <f>'4.1 Comptes 2023 natures'!N91/'4.1 Comptes 2023 natures'!N3</f>
        <v>9.9726495726495727</v>
      </c>
      <c r="O91" s="13">
        <f>'4.1 Comptes 2023 natures'!O91/'4.1 Comptes 2023 natures'!O3</f>
        <v>33.410085574572129</v>
      </c>
      <c r="P91" s="13">
        <f>'4.1 Comptes 2023 natures'!P91/'4.1 Comptes 2023 natures'!P3</f>
        <v>29.659457943925233</v>
      </c>
      <c r="Q91" s="13">
        <f>'4.1 Comptes 2023 natures'!Q91/'4.1 Comptes 2023 natures'!Q3</f>
        <v>40.631696428571431</v>
      </c>
      <c r="R91" s="13">
        <f>'4.1 Comptes 2023 natures'!R91/'4.1 Comptes 2023 natures'!R3</f>
        <v>26.872619047619047</v>
      </c>
      <c r="S91" s="13">
        <f>'4.1 Comptes 2023 natures'!S91/'4.1 Comptes 2023 natures'!S3</f>
        <v>97.947621776504306</v>
      </c>
      <c r="T91" s="13">
        <f>'4.1 Comptes 2023 natures'!T91/'4.1 Comptes 2023 natures'!T3</f>
        <v>13.075743519781719</v>
      </c>
      <c r="U91" s="13">
        <f>'4.1 Comptes 2023 natures'!U91/'4.1 Comptes 2023 natures'!U3</f>
        <v>6.5668498168498166</v>
      </c>
      <c r="V91" s="13">
        <f>'4.1 Comptes 2023 natures'!V91/'4.1 Comptes 2023 natures'!V3</f>
        <v>43.854872389791183</v>
      </c>
      <c r="W91" s="13">
        <f>'4.1 Comptes 2023 natures'!W91/'4.1 Comptes 2023 natures'!W3</f>
        <v>15.743163046803303</v>
      </c>
      <c r="X91" s="13">
        <f>'4.1 Comptes 2023 natures'!X91/'4.1 Comptes 2023 natures'!X3</f>
        <v>12.765245901639345</v>
      </c>
      <c r="Y91" s="13">
        <f>'4.1 Comptes 2023 natures'!Y91/'4.1 Comptes 2023 natures'!Y3</f>
        <v>7.0143769968051117</v>
      </c>
      <c r="Z91" s="13">
        <f>'4.1 Comptes 2023 natures'!Z91/'4.1 Comptes 2023 natures'!Z3</f>
        <v>7.7601705237515226</v>
      </c>
      <c r="AA91" s="13">
        <f>'4.1 Comptes 2023 natures'!AA91/'4.1 Comptes 2023 natures'!AA3</f>
        <v>10.573825503355705</v>
      </c>
      <c r="AB91" s="13">
        <f>'4.1 Comptes 2023 natures'!AB91/'4.1 Comptes 2023 natures'!AB3</f>
        <v>0</v>
      </c>
      <c r="AC91" s="13">
        <f>'4.1 Comptes 2023 natures'!AC91/'4.1 Comptes 2023 natures'!AC3</f>
        <v>25.145309859154928</v>
      </c>
      <c r="AD91" s="13">
        <f>'4.1 Comptes 2023 natures'!AD91/'4.1 Comptes 2023 natures'!AD3</f>
        <v>9.4457597173144876</v>
      </c>
      <c r="AE91" s="13">
        <f>'4.1 Comptes 2023 natures'!AE91/'4.1 Comptes 2023 natures'!AE3</f>
        <v>12.440059055118111</v>
      </c>
      <c r="AF91" s="13">
        <f>'4.1 Comptes 2023 natures'!AF91/'4.1 Comptes 2023 natures'!AF3</f>
        <v>16.696923863055698</v>
      </c>
      <c r="AG91" s="13">
        <f>'4.1 Comptes 2023 natures'!AG91/'4.1 Comptes 2023 natures'!AG3</f>
        <v>14.676401869158878</v>
      </c>
      <c r="AH91" s="13">
        <f>'4.1 Comptes 2023 natures'!AH91/'4.1 Comptes 2023 natures'!AH3</f>
        <v>11.848326359832637</v>
      </c>
      <c r="AI91" s="13">
        <f>'4.1 Comptes 2023 natures'!AI91/'4.1 Comptes 2023 natures'!AI3</f>
        <v>8.5519999999999996</v>
      </c>
      <c r="AJ91" s="13">
        <f>'4.1 Comptes 2023 natures'!AJ91/'4.1 Comptes 2023 natures'!AJ3</f>
        <v>24.665249082328263</v>
      </c>
      <c r="AK91" s="13">
        <f>'4.1 Comptes 2023 natures'!AK91/'4.1 Comptes 2023 natures'!AK3</f>
        <v>11.733465608465609</v>
      </c>
      <c r="AL91" s="13">
        <f>'4.1 Comptes 2023 natures'!AL91/'4.1 Comptes 2023 natures'!AL3</f>
        <v>14.034879467996674</v>
      </c>
      <c r="AM91" s="13">
        <f>'4.1 Comptes 2023 natures'!AM91/'4.1 Comptes 2023 natures'!AM3</f>
        <v>10.066964285714286</v>
      </c>
      <c r="AN91" s="13">
        <f>'4.1 Comptes 2023 natures'!AN91/'4.1 Comptes 2023 natures'!AN3</f>
        <v>37.292288642186165</v>
      </c>
      <c r="AO91" s="13">
        <f>'4.1 Comptes 2023 natures'!AO91/'4.1 Comptes 2023 natures'!AO3</f>
        <v>27.961450381679388</v>
      </c>
      <c r="AP91" s="13">
        <f>'4.1 Comptes 2023 natures'!AP91/'4.1 Comptes 2023 natures'!AP3</f>
        <v>14.964263074484945</v>
      </c>
      <c r="AQ91" s="13">
        <f>'4.1 Comptes 2023 natures'!AQ91/'4.1 Comptes 2023 natures'!AQ3</f>
        <v>27.644204018547139</v>
      </c>
      <c r="AR91" s="13">
        <f>'4.1 Comptes 2023 natures'!AR91/'4.1 Comptes 2023 natures'!AR3</f>
        <v>9.8598474341192777</v>
      </c>
      <c r="AS91" s="13">
        <f>'4.1 Comptes 2023 natures'!AS91/'4.1 Comptes 2023 natures'!AS3</f>
        <v>14.513349056603774</v>
      </c>
      <c r="AT91" s="13">
        <f>'4.1 Comptes 2023 natures'!AT91/'4.1 Comptes 2023 natures'!AT3</f>
        <v>24.727261146496815</v>
      </c>
      <c r="AU91" s="13">
        <f>'4.1 Comptes 2023 natures'!AU91/'4.1 Comptes 2023 natures'!AU3</f>
        <v>19.484182633509988</v>
      </c>
      <c r="AV91" s="13">
        <f>'4.1 Comptes 2023 natures'!AV91/'4.1 Comptes 2023 natures'!AV3</f>
        <v>24.315839793281654</v>
      </c>
      <c r="AW91" s="13">
        <f>'4.1 Comptes 2023 natures'!AW91/'4.1 Comptes 2023 natures'!AW3</f>
        <v>32.20840220385675</v>
      </c>
      <c r="AX91" s="13">
        <f>'4.1 Comptes 2023 natures'!AX91/'4.1 Comptes 2023 natures'!AX3</f>
        <v>-8.8554216867469879E-2</v>
      </c>
      <c r="AY91" s="13">
        <f>'4.1 Comptes 2023 natures'!AY91/'4.1 Comptes 2023 natures'!AY3</f>
        <v>20.078967820279296</v>
      </c>
      <c r="AZ91" s="13">
        <f>'4.1 Comptes 2023 natures'!AZ91/'4.1 Comptes 2023 natures'!AZ3</f>
        <v>16.267060367454068</v>
      </c>
      <c r="BA91" s="13">
        <f>'4.1 Comptes 2023 natures'!BA91/'4.1 Comptes 2023 natures'!BA3</f>
        <v>16.49659413434248</v>
      </c>
      <c r="BB91" s="13">
        <f>'4.1 Comptes 2023 natures'!BB91/'4.1 Comptes 2023 natures'!BB3</f>
        <v>99.186209665202242</v>
      </c>
      <c r="BC91" s="13">
        <f>'4.1 Comptes 2023 natures'!BC91/'4.1 Comptes 2023 natures'!BC3</f>
        <v>14.268647166361974</v>
      </c>
      <c r="BD91" s="13">
        <f>'4.1 Comptes 2023 natures'!BD91/'4.1 Comptes 2023 natures'!BD3</f>
        <v>36.933385872189724</v>
      </c>
      <c r="BE91" s="13">
        <f>'4.1 Comptes 2023 natures'!BE91/'4.1 Comptes 2023 natures'!BE3</f>
        <v>40.575080433686331</v>
      </c>
      <c r="BF91" s="13">
        <f>'4.1 Comptes 2023 natures'!BF91/'4.1 Comptes 2023 natures'!BF3</f>
        <v>12.418360079764504</v>
      </c>
      <c r="BG91" s="13">
        <f>'4.1 Comptes 2023 natures'!BG91/'4.1 Comptes 2023 natures'!BG3</f>
        <v>41.603013917970195</v>
      </c>
    </row>
    <row r="92" spans="2:59" x14ac:dyDescent="0.2">
      <c r="C92" s="8">
        <v>422</v>
      </c>
      <c r="D92" s="8" t="s">
        <v>146</v>
      </c>
      <c r="E92" s="13">
        <f>'4.1 Comptes 2023 natures'!E92/'4.1 Comptes 2023 natures'!E3</f>
        <v>0</v>
      </c>
      <c r="F92" s="13">
        <f>'4.1 Comptes 2023 natures'!F92/'4.1 Comptes 2023 natures'!F3</f>
        <v>0</v>
      </c>
      <c r="G92" s="13">
        <f>'4.1 Comptes 2023 natures'!G92/'4.1 Comptes 2023 natures'!G3</f>
        <v>0</v>
      </c>
      <c r="H92" s="13">
        <f>'4.1 Comptes 2023 natures'!H92/'4.1 Comptes 2023 natures'!H3</f>
        <v>0</v>
      </c>
      <c r="I92" s="13">
        <f>'4.1 Comptes 2023 natures'!I92/'4.1 Comptes 2023 natures'!I3</f>
        <v>0</v>
      </c>
      <c r="J92" s="13">
        <f>'4.1 Comptes 2023 natures'!J92/'4.1 Comptes 2023 natures'!J3</f>
        <v>0</v>
      </c>
      <c r="K92" s="13">
        <f>'4.1 Comptes 2023 natures'!K92/'4.1 Comptes 2023 natures'!K3</f>
        <v>0</v>
      </c>
      <c r="L92" s="13">
        <f>'4.1 Comptes 2023 natures'!L92/'4.1 Comptes 2023 natures'!L3</f>
        <v>0</v>
      </c>
      <c r="M92" s="13">
        <f>'4.1 Comptes 2023 natures'!M92/'4.1 Comptes 2023 natures'!M3</f>
        <v>0</v>
      </c>
      <c r="N92" s="13">
        <f>'4.1 Comptes 2023 natures'!N92/'4.1 Comptes 2023 natures'!N3</f>
        <v>0</v>
      </c>
      <c r="O92" s="13">
        <f>'4.1 Comptes 2023 natures'!O92/'4.1 Comptes 2023 natures'!O3</f>
        <v>0</v>
      </c>
      <c r="P92" s="13">
        <f>'4.1 Comptes 2023 natures'!P92/'4.1 Comptes 2023 natures'!P3</f>
        <v>0</v>
      </c>
      <c r="Q92" s="13">
        <f>'4.1 Comptes 2023 natures'!Q92/'4.1 Comptes 2023 natures'!Q3</f>
        <v>0</v>
      </c>
      <c r="R92" s="13">
        <f>'4.1 Comptes 2023 natures'!R92/'4.1 Comptes 2023 natures'!R3</f>
        <v>0</v>
      </c>
      <c r="S92" s="13">
        <f>'4.1 Comptes 2023 natures'!S92/'4.1 Comptes 2023 natures'!S3</f>
        <v>0</v>
      </c>
      <c r="T92" s="13">
        <f>'4.1 Comptes 2023 natures'!T92/'4.1 Comptes 2023 natures'!T3</f>
        <v>0</v>
      </c>
      <c r="U92" s="13">
        <f>'4.1 Comptes 2023 natures'!U92/'4.1 Comptes 2023 natures'!U3</f>
        <v>0</v>
      </c>
      <c r="V92" s="13">
        <f>'4.1 Comptes 2023 natures'!V92/'4.1 Comptes 2023 natures'!V3</f>
        <v>0</v>
      </c>
      <c r="W92" s="13">
        <f>'4.1 Comptes 2023 natures'!W92/'4.1 Comptes 2023 natures'!W3</f>
        <v>0</v>
      </c>
      <c r="X92" s="13">
        <f>'4.1 Comptes 2023 natures'!X92/'4.1 Comptes 2023 natures'!X3</f>
        <v>0</v>
      </c>
      <c r="Y92" s="13">
        <f>'4.1 Comptes 2023 natures'!Y92/'4.1 Comptes 2023 natures'!Y3</f>
        <v>0</v>
      </c>
      <c r="Z92" s="13">
        <f>'4.1 Comptes 2023 natures'!Z92/'4.1 Comptes 2023 natures'!Z3</f>
        <v>0</v>
      </c>
      <c r="AA92" s="13">
        <f>'4.1 Comptes 2023 natures'!AA92/'4.1 Comptes 2023 natures'!AA3</f>
        <v>0</v>
      </c>
      <c r="AB92" s="13">
        <f>'4.1 Comptes 2023 natures'!AB92/'4.1 Comptes 2023 natures'!AB3</f>
        <v>0</v>
      </c>
      <c r="AC92" s="13">
        <f>'4.1 Comptes 2023 natures'!AC92/'4.1 Comptes 2023 natures'!AC3</f>
        <v>0</v>
      </c>
      <c r="AD92" s="13">
        <f>'4.1 Comptes 2023 natures'!AD92/'4.1 Comptes 2023 natures'!AD3</f>
        <v>0</v>
      </c>
      <c r="AE92" s="13">
        <f>'4.1 Comptes 2023 natures'!AE92/'4.1 Comptes 2023 natures'!AE3</f>
        <v>0</v>
      </c>
      <c r="AF92" s="13">
        <f>'4.1 Comptes 2023 natures'!AF92/'4.1 Comptes 2023 natures'!AF3</f>
        <v>0</v>
      </c>
      <c r="AG92" s="13">
        <f>'4.1 Comptes 2023 natures'!AG92/'4.1 Comptes 2023 natures'!AG3</f>
        <v>0</v>
      </c>
      <c r="AH92" s="13">
        <f>'4.1 Comptes 2023 natures'!AH92/'4.1 Comptes 2023 natures'!AH3</f>
        <v>0</v>
      </c>
      <c r="AI92" s="13">
        <f>'4.1 Comptes 2023 natures'!AI92/'4.1 Comptes 2023 natures'!AI3</f>
        <v>0</v>
      </c>
      <c r="AJ92" s="13">
        <f>'4.1 Comptes 2023 natures'!AJ92/'4.1 Comptes 2023 natures'!AJ3</f>
        <v>0</v>
      </c>
      <c r="AK92" s="13">
        <f>'4.1 Comptes 2023 natures'!AK92/'4.1 Comptes 2023 natures'!AK3</f>
        <v>0</v>
      </c>
      <c r="AL92" s="13">
        <f>'4.1 Comptes 2023 natures'!AL92/'4.1 Comptes 2023 natures'!AL3</f>
        <v>0</v>
      </c>
      <c r="AM92" s="13">
        <f>'4.1 Comptes 2023 natures'!AM92/'4.1 Comptes 2023 natures'!AM3</f>
        <v>0</v>
      </c>
      <c r="AN92" s="13">
        <f>'4.1 Comptes 2023 natures'!AN92/'4.1 Comptes 2023 natures'!AN3</f>
        <v>0</v>
      </c>
      <c r="AO92" s="13">
        <f>'4.1 Comptes 2023 natures'!AO92/'4.1 Comptes 2023 natures'!AO3</f>
        <v>0</v>
      </c>
      <c r="AP92" s="13">
        <f>'4.1 Comptes 2023 natures'!AP92/'4.1 Comptes 2023 natures'!AP3</f>
        <v>0</v>
      </c>
      <c r="AQ92" s="13">
        <f>'4.1 Comptes 2023 natures'!AQ92/'4.1 Comptes 2023 natures'!AQ3</f>
        <v>0</v>
      </c>
      <c r="AR92" s="13">
        <f>'4.1 Comptes 2023 natures'!AR92/'4.1 Comptes 2023 natures'!AR3</f>
        <v>0</v>
      </c>
      <c r="AS92" s="13">
        <f>'4.1 Comptes 2023 natures'!AS92/'4.1 Comptes 2023 natures'!AS3</f>
        <v>0</v>
      </c>
      <c r="AT92" s="13">
        <f>'4.1 Comptes 2023 natures'!AT92/'4.1 Comptes 2023 natures'!AT3</f>
        <v>0</v>
      </c>
      <c r="AU92" s="13">
        <f>'4.1 Comptes 2023 natures'!AU92/'4.1 Comptes 2023 natures'!AU3</f>
        <v>0</v>
      </c>
      <c r="AV92" s="13">
        <f>'4.1 Comptes 2023 natures'!AV92/'4.1 Comptes 2023 natures'!AV3</f>
        <v>0</v>
      </c>
      <c r="AW92" s="13">
        <f>'4.1 Comptes 2023 natures'!AW92/'4.1 Comptes 2023 natures'!AW3</f>
        <v>0</v>
      </c>
      <c r="AX92" s="13">
        <f>'4.1 Comptes 2023 natures'!AX92/'4.1 Comptes 2023 natures'!AX3</f>
        <v>0</v>
      </c>
      <c r="AY92" s="13">
        <f>'4.1 Comptes 2023 natures'!AY92/'4.1 Comptes 2023 natures'!AY3</f>
        <v>0</v>
      </c>
      <c r="AZ92" s="13">
        <f>'4.1 Comptes 2023 natures'!AZ92/'4.1 Comptes 2023 natures'!AZ3</f>
        <v>0</v>
      </c>
      <c r="BA92" s="13">
        <f>'4.1 Comptes 2023 natures'!BA92/'4.1 Comptes 2023 natures'!BA3</f>
        <v>0</v>
      </c>
      <c r="BB92" s="13">
        <f>'4.1 Comptes 2023 natures'!BB92/'4.1 Comptes 2023 natures'!BB3</f>
        <v>0</v>
      </c>
      <c r="BC92" s="13">
        <f>'4.1 Comptes 2023 natures'!BC92/'4.1 Comptes 2023 natures'!BC3</f>
        <v>0</v>
      </c>
      <c r="BD92" s="13">
        <f>'4.1 Comptes 2023 natures'!BD92/'4.1 Comptes 2023 natures'!BD3</f>
        <v>0</v>
      </c>
      <c r="BE92" s="13">
        <f>'4.1 Comptes 2023 natures'!BE92/'4.1 Comptes 2023 natures'!BE3</f>
        <v>0</v>
      </c>
      <c r="BF92" s="13">
        <f>'4.1 Comptes 2023 natures'!BF92/'4.1 Comptes 2023 natures'!BF3</f>
        <v>0</v>
      </c>
      <c r="BG92" s="13">
        <f>'4.1 Comptes 2023 natures'!BG92/'4.1 Comptes 2023 natures'!BG3</f>
        <v>0</v>
      </c>
    </row>
    <row r="93" spans="2:59" x14ac:dyDescent="0.2">
      <c r="C93" s="8">
        <v>423</v>
      </c>
      <c r="D93" s="8" t="s">
        <v>147</v>
      </c>
      <c r="E93" s="13">
        <f>'4.1 Comptes 2023 natures'!E93/'4.1 Comptes 2023 natures'!E3</f>
        <v>1.4151925078043703</v>
      </c>
      <c r="F93" s="13">
        <f>'4.1 Comptes 2023 natures'!F93/'4.1 Comptes 2023 natures'!F3</f>
        <v>0</v>
      </c>
      <c r="G93" s="13">
        <f>'4.1 Comptes 2023 natures'!G93/'4.1 Comptes 2023 natures'!G3</f>
        <v>0</v>
      </c>
      <c r="H93" s="13">
        <f>'4.1 Comptes 2023 natures'!H93/'4.1 Comptes 2023 natures'!H3</f>
        <v>0</v>
      </c>
      <c r="I93" s="13">
        <f>'4.1 Comptes 2023 natures'!I93/'4.1 Comptes 2023 natures'!I3</f>
        <v>3.1647122988819198</v>
      </c>
      <c r="J93" s="13">
        <f>'4.1 Comptes 2023 natures'!J93/'4.1 Comptes 2023 natures'!J3</f>
        <v>0</v>
      </c>
      <c r="K93" s="13">
        <f>'4.1 Comptes 2023 natures'!K93/'4.1 Comptes 2023 natures'!K3</f>
        <v>0</v>
      </c>
      <c r="L93" s="13">
        <f>'4.1 Comptes 2023 natures'!L93/'4.1 Comptes 2023 natures'!L3</f>
        <v>2.9392416987204646</v>
      </c>
      <c r="M93" s="13">
        <f>'4.1 Comptes 2023 natures'!M93/'4.1 Comptes 2023 natures'!M3</f>
        <v>1.5212099125364431</v>
      </c>
      <c r="N93" s="13">
        <f>'4.1 Comptes 2023 natures'!N93/'4.1 Comptes 2023 natures'!N3</f>
        <v>0</v>
      </c>
      <c r="O93" s="13">
        <f>'4.1 Comptes 2023 natures'!O93/'4.1 Comptes 2023 natures'!O3</f>
        <v>0</v>
      </c>
      <c r="P93" s="13">
        <f>'4.1 Comptes 2023 natures'!P93/'4.1 Comptes 2023 natures'!P3</f>
        <v>0</v>
      </c>
      <c r="Q93" s="13">
        <f>'4.1 Comptes 2023 natures'!Q93/'4.1 Comptes 2023 natures'!Q3</f>
        <v>0</v>
      </c>
      <c r="R93" s="13">
        <f>'4.1 Comptes 2023 natures'!R93/'4.1 Comptes 2023 natures'!R3</f>
        <v>11.428571428571429</v>
      </c>
      <c r="S93" s="13">
        <f>'4.1 Comptes 2023 natures'!S93/'4.1 Comptes 2023 natures'!S3</f>
        <v>8.595988538681949</v>
      </c>
      <c r="T93" s="13">
        <f>'4.1 Comptes 2023 natures'!T93/'4.1 Comptes 2023 natures'!T3</f>
        <v>0</v>
      </c>
      <c r="U93" s="13">
        <f>'4.1 Comptes 2023 natures'!U93/'4.1 Comptes 2023 natures'!U3</f>
        <v>0</v>
      </c>
      <c r="V93" s="13">
        <f>'4.1 Comptes 2023 natures'!V93/'4.1 Comptes 2023 natures'!V3</f>
        <v>11.368909512761022</v>
      </c>
      <c r="W93" s="13">
        <f>'4.1 Comptes 2023 natures'!W93/'4.1 Comptes 2023 natures'!W3</f>
        <v>2.0648516365861118</v>
      </c>
      <c r="X93" s="13">
        <f>'4.1 Comptes 2023 natures'!X93/'4.1 Comptes 2023 natures'!X3</f>
        <v>102.13147540983606</v>
      </c>
      <c r="Y93" s="13">
        <f>'4.1 Comptes 2023 natures'!Y93/'4.1 Comptes 2023 natures'!Y3</f>
        <v>0</v>
      </c>
      <c r="Z93" s="13">
        <f>'4.1 Comptes 2023 natures'!Z93/'4.1 Comptes 2023 natures'!Z3</f>
        <v>136.40898294762485</v>
      </c>
      <c r="AA93" s="13">
        <f>'4.1 Comptes 2023 natures'!AA93/'4.1 Comptes 2023 natures'!AA3</f>
        <v>0</v>
      </c>
      <c r="AB93" s="13">
        <f>'4.1 Comptes 2023 natures'!AB93/'4.1 Comptes 2023 natures'!AB3</f>
        <v>0</v>
      </c>
      <c r="AC93" s="13">
        <f>'4.1 Comptes 2023 natures'!AC93/'4.1 Comptes 2023 natures'!AC3</f>
        <v>0</v>
      </c>
      <c r="AD93" s="13">
        <f>'4.1 Comptes 2023 natures'!AD93/'4.1 Comptes 2023 natures'!AD3</f>
        <v>0</v>
      </c>
      <c r="AE93" s="13">
        <f>'4.1 Comptes 2023 natures'!AE93/'4.1 Comptes 2023 natures'!AE3</f>
        <v>0</v>
      </c>
      <c r="AF93" s="13">
        <f>'4.1 Comptes 2023 natures'!AF93/'4.1 Comptes 2023 natures'!AF3</f>
        <v>0</v>
      </c>
      <c r="AG93" s="13">
        <f>'4.1 Comptes 2023 natures'!AG93/'4.1 Comptes 2023 natures'!AG3</f>
        <v>55.328765576323981</v>
      </c>
      <c r="AH93" s="13">
        <f>'4.1 Comptes 2023 natures'!AH93/'4.1 Comptes 2023 natures'!AH3</f>
        <v>0</v>
      </c>
      <c r="AI93" s="13">
        <f>'4.1 Comptes 2023 natures'!AI93/'4.1 Comptes 2023 natures'!AI3</f>
        <v>0</v>
      </c>
      <c r="AJ93" s="13">
        <f>'4.1 Comptes 2023 natures'!AJ93/'4.1 Comptes 2023 natures'!AJ3</f>
        <v>0</v>
      </c>
      <c r="AK93" s="13">
        <f>'4.1 Comptes 2023 natures'!AK93/'4.1 Comptes 2023 natures'!AK3</f>
        <v>0</v>
      </c>
      <c r="AL93" s="13">
        <f>'4.1 Comptes 2023 natures'!AL93/'4.1 Comptes 2023 natures'!AL3</f>
        <v>18.974231088944308</v>
      </c>
      <c r="AM93" s="13">
        <f>'4.1 Comptes 2023 natures'!AM93/'4.1 Comptes 2023 natures'!AM3</f>
        <v>0</v>
      </c>
      <c r="AN93" s="13">
        <f>'4.1 Comptes 2023 natures'!AN93/'4.1 Comptes 2023 natures'!AN3</f>
        <v>0</v>
      </c>
      <c r="AO93" s="13">
        <f>'4.1 Comptes 2023 natures'!AO93/'4.1 Comptes 2023 natures'!AO3</f>
        <v>0</v>
      </c>
      <c r="AP93" s="13">
        <f>'4.1 Comptes 2023 natures'!AP93/'4.1 Comptes 2023 natures'!AP3</f>
        <v>0</v>
      </c>
      <c r="AQ93" s="13">
        <f>'4.1 Comptes 2023 natures'!AQ93/'4.1 Comptes 2023 natures'!AQ3</f>
        <v>7.7712519319938176</v>
      </c>
      <c r="AR93" s="13">
        <f>'4.1 Comptes 2023 natures'!AR93/'4.1 Comptes 2023 natures'!AR3</f>
        <v>57.56588072122053</v>
      </c>
      <c r="AS93" s="13">
        <f>'4.1 Comptes 2023 natures'!AS93/'4.1 Comptes 2023 natures'!AS3</f>
        <v>0</v>
      </c>
      <c r="AT93" s="13">
        <f>'4.1 Comptes 2023 natures'!AT93/'4.1 Comptes 2023 natures'!AT3</f>
        <v>47.579617834394902</v>
      </c>
      <c r="AU93" s="13">
        <f>'4.1 Comptes 2023 natures'!AU93/'4.1 Comptes 2023 natures'!AU3</f>
        <v>0</v>
      </c>
      <c r="AV93" s="13">
        <f>'4.1 Comptes 2023 natures'!AV93/'4.1 Comptes 2023 natures'!AV3</f>
        <v>0</v>
      </c>
      <c r="AW93" s="13">
        <f>'4.1 Comptes 2023 natures'!AW93/'4.1 Comptes 2023 natures'!AW3</f>
        <v>0</v>
      </c>
      <c r="AX93" s="13">
        <f>'4.1 Comptes 2023 natures'!AX93/'4.1 Comptes 2023 natures'!AX3</f>
        <v>0</v>
      </c>
      <c r="AY93" s="13">
        <f>'4.1 Comptes 2023 natures'!AY93/'4.1 Comptes 2023 natures'!AY3</f>
        <v>0</v>
      </c>
      <c r="AZ93" s="13">
        <f>'4.1 Comptes 2023 natures'!AZ93/'4.1 Comptes 2023 natures'!AZ3</f>
        <v>18.568635170603674</v>
      </c>
      <c r="BA93" s="13">
        <f>'4.1 Comptes 2023 natures'!BA93/'4.1 Comptes 2023 natures'!BA3</f>
        <v>16.71442762535478</v>
      </c>
      <c r="BB93" s="13">
        <f>'4.1 Comptes 2023 natures'!BB93/'4.1 Comptes 2023 natures'!BB3</f>
        <v>9.2390016664141807</v>
      </c>
      <c r="BC93" s="13">
        <f>'4.1 Comptes 2023 natures'!BC93/'4.1 Comptes 2023 natures'!BC3</f>
        <v>0</v>
      </c>
      <c r="BD93" s="13">
        <f>'4.1 Comptes 2023 natures'!BD93/'4.1 Comptes 2023 natures'!BD3</f>
        <v>8.6416600042925378</v>
      </c>
      <c r="BE93" s="13">
        <f>'4.1 Comptes 2023 natures'!BE93/'4.1 Comptes 2023 natures'!BE3</f>
        <v>1.8140468986384268</v>
      </c>
      <c r="BF93" s="13">
        <f>'4.1 Comptes 2023 natures'!BF93/'4.1 Comptes 2023 natures'!BF3</f>
        <v>37.718917481720631</v>
      </c>
      <c r="BG93" s="13">
        <f>'4.1 Comptes 2023 natures'!BG93/'4.1 Comptes 2023 natures'!BG3</f>
        <v>7.1870694256271292</v>
      </c>
    </row>
    <row r="94" spans="2:59" x14ac:dyDescent="0.2">
      <c r="C94" s="8">
        <v>424</v>
      </c>
      <c r="D94" s="8" t="s">
        <v>148</v>
      </c>
      <c r="E94" s="13">
        <f>'4.1 Comptes 2023 natures'!E94/'4.1 Comptes 2023 natures'!E3</f>
        <v>651.90138397502596</v>
      </c>
      <c r="F94" s="13">
        <f>'4.1 Comptes 2023 natures'!F94/'4.1 Comptes 2023 natures'!F3</f>
        <v>777.71072796934868</v>
      </c>
      <c r="G94" s="13">
        <f>'4.1 Comptes 2023 natures'!G94/'4.1 Comptes 2023 natures'!G3</f>
        <v>501.02226720647775</v>
      </c>
      <c r="H94" s="13">
        <f>'4.1 Comptes 2023 natures'!H94/'4.1 Comptes 2023 natures'!H3</f>
        <v>1613.3680898876405</v>
      </c>
      <c r="I94" s="13">
        <f>'4.1 Comptes 2023 natures'!I94/'4.1 Comptes 2023 natures'!I3</f>
        <v>1093.1465066812109</v>
      </c>
      <c r="J94" s="13">
        <f>'4.1 Comptes 2023 natures'!J94/'4.1 Comptes 2023 natures'!J3</f>
        <v>924.51564782096591</v>
      </c>
      <c r="K94" s="13">
        <f>'4.1 Comptes 2023 natures'!K94/'4.1 Comptes 2023 natures'!K3</f>
        <v>518.31116740088112</v>
      </c>
      <c r="L94" s="13">
        <f>'4.1 Comptes 2023 natures'!L94/'4.1 Comptes 2023 natures'!L3</f>
        <v>3302.4706028730666</v>
      </c>
      <c r="M94" s="13">
        <f>'4.1 Comptes 2023 natures'!M94/'4.1 Comptes 2023 natures'!M3</f>
        <v>1878.7351311953353</v>
      </c>
      <c r="N94" s="13">
        <f>'4.1 Comptes 2023 natures'!N94/'4.1 Comptes 2023 natures'!N3</f>
        <v>406.6863247863248</v>
      </c>
      <c r="O94" s="13">
        <f>'4.1 Comptes 2023 natures'!O94/'4.1 Comptes 2023 natures'!O3</f>
        <v>532.23609752784569</v>
      </c>
      <c r="P94" s="13">
        <f>'4.1 Comptes 2023 natures'!P94/'4.1 Comptes 2023 natures'!P3</f>
        <v>237.03702803738318</v>
      </c>
      <c r="Q94" s="13">
        <f>'4.1 Comptes 2023 natures'!Q94/'4.1 Comptes 2023 natures'!Q3</f>
        <v>441.39687499999997</v>
      </c>
      <c r="R94" s="13">
        <f>'4.1 Comptes 2023 natures'!R94/'4.1 Comptes 2023 natures'!R3</f>
        <v>463.4719047619048</v>
      </c>
      <c r="S94" s="13">
        <f>'4.1 Comptes 2023 natures'!S94/'4.1 Comptes 2023 natures'!S3</f>
        <v>587.0502865329513</v>
      </c>
      <c r="T94" s="13">
        <f>'4.1 Comptes 2023 natures'!T94/'4.1 Comptes 2023 natures'!T3</f>
        <v>1092.0856889495226</v>
      </c>
      <c r="U94" s="13">
        <f>'4.1 Comptes 2023 natures'!U94/'4.1 Comptes 2023 natures'!U3</f>
        <v>524.98168498168502</v>
      </c>
      <c r="V94" s="13">
        <f>'4.1 Comptes 2023 natures'!V94/'4.1 Comptes 2023 natures'!V3</f>
        <v>407.63283062645013</v>
      </c>
      <c r="W94" s="13">
        <f>'4.1 Comptes 2023 natures'!W94/'4.1 Comptes 2023 natures'!W3</f>
        <v>438.82860201896602</v>
      </c>
      <c r="X94" s="13">
        <f>'4.1 Comptes 2023 natures'!X94/'4.1 Comptes 2023 natures'!X3</f>
        <v>788.43065573770491</v>
      </c>
      <c r="Y94" s="13">
        <f>'4.1 Comptes 2023 natures'!Y94/'4.1 Comptes 2023 natures'!Y3</f>
        <v>832.39313099041533</v>
      </c>
      <c r="Z94" s="13">
        <f>'4.1 Comptes 2023 natures'!Z94/'4.1 Comptes 2023 natures'!Z3</f>
        <v>885.98519488428747</v>
      </c>
      <c r="AA94" s="13">
        <f>'4.1 Comptes 2023 natures'!AA94/'4.1 Comptes 2023 natures'!AA3</f>
        <v>605.86308724832213</v>
      </c>
      <c r="AB94" s="13">
        <f>'4.1 Comptes 2023 natures'!AB94/'4.1 Comptes 2023 natures'!AB3</f>
        <v>951.059705882353</v>
      </c>
      <c r="AC94" s="13">
        <f>'4.1 Comptes 2023 natures'!AC94/'4.1 Comptes 2023 natures'!AC3</f>
        <v>664.63584507042253</v>
      </c>
      <c r="AD94" s="13">
        <f>'4.1 Comptes 2023 natures'!AD94/'4.1 Comptes 2023 natures'!AD3</f>
        <v>752.238074204947</v>
      </c>
      <c r="AE94" s="13">
        <f>'4.1 Comptes 2023 natures'!AE94/'4.1 Comptes 2023 natures'!AE3</f>
        <v>763.27598425196857</v>
      </c>
      <c r="AF94" s="13">
        <f>'4.1 Comptes 2023 natures'!AF94/'4.1 Comptes 2023 natures'!AF3</f>
        <v>728.75089422585586</v>
      </c>
      <c r="AG94" s="13">
        <f>'4.1 Comptes 2023 natures'!AG94/'4.1 Comptes 2023 natures'!AG3</f>
        <v>935.21617211837997</v>
      </c>
      <c r="AH94" s="13">
        <f>'4.1 Comptes 2023 natures'!AH94/'4.1 Comptes 2023 natures'!AH3</f>
        <v>737.5721757322176</v>
      </c>
      <c r="AI94" s="13">
        <f>'4.1 Comptes 2023 natures'!AI94/'4.1 Comptes 2023 natures'!AI3</f>
        <v>890.83879999999999</v>
      </c>
      <c r="AJ94" s="13">
        <f>'4.1 Comptes 2023 natures'!AJ94/'4.1 Comptes 2023 natures'!AJ3</f>
        <v>588.57938647089668</v>
      </c>
      <c r="AK94" s="13">
        <f>'4.1 Comptes 2023 natures'!AK94/'4.1 Comptes 2023 natures'!AK3</f>
        <v>549.84522045855374</v>
      </c>
      <c r="AL94" s="13">
        <f>'4.1 Comptes 2023 natures'!AL94/'4.1 Comptes 2023 natures'!AL3</f>
        <v>482.83249376558604</v>
      </c>
      <c r="AM94" s="13">
        <f>'4.1 Comptes 2023 natures'!AM94/'4.1 Comptes 2023 natures'!AM3</f>
        <v>767.84642857142865</v>
      </c>
      <c r="AN94" s="13">
        <f>'4.1 Comptes 2023 natures'!AN94/'4.1 Comptes 2023 natures'!AN3</f>
        <v>990.14707087959005</v>
      </c>
      <c r="AO94" s="13">
        <f>'4.1 Comptes 2023 natures'!AO94/'4.1 Comptes 2023 natures'!AO3</f>
        <v>881.07541984732825</v>
      </c>
      <c r="AP94" s="13">
        <f>'4.1 Comptes 2023 natures'!AP94/'4.1 Comptes 2023 natures'!AP3</f>
        <v>489.5831061806656</v>
      </c>
      <c r="AQ94" s="13">
        <f>'4.1 Comptes 2023 natures'!AQ94/'4.1 Comptes 2023 natures'!AQ3</f>
        <v>667.7720633693973</v>
      </c>
      <c r="AR94" s="13">
        <f>'4.1 Comptes 2023 natures'!AR94/'4.1 Comptes 2023 natures'!AR3</f>
        <v>382.57420249653262</v>
      </c>
      <c r="AS94" s="13">
        <f>'4.1 Comptes 2023 natures'!AS94/'4.1 Comptes 2023 natures'!AS3</f>
        <v>661.96080188679241</v>
      </c>
      <c r="AT94" s="13">
        <f>'4.1 Comptes 2023 natures'!AT94/'4.1 Comptes 2023 natures'!AT3</f>
        <v>442.01082802547768</v>
      </c>
      <c r="AU94" s="13">
        <f>'4.1 Comptes 2023 natures'!AU94/'4.1 Comptes 2023 natures'!AU3</f>
        <v>480.63110476966983</v>
      </c>
      <c r="AV94" s="13">
        <f>'4.1 Comptes 2023 natures'!AV94/'4.1 Comptes 2023 natures'!AV3</f>
        <v>503.45051679586567</v>
      </c>
      <c r="AW94" s="13">
        <f>'4.1 Comptes 2023 natures'!AW94/'4.1 Comptes 2023 natures'!AW3</f>
        <v>466.34504132231405</v>
      </c>
      <c r="AX94" s="13">
        <f>'4.1 Comptes 2023 natures'!AX94/'4.1 Comptes 2023 natures'!AX3</f>
        <v>626.9081325301205</v>
      </c>
      <c r="AY94" s="13">
        <f>'4.1 Comptes 2023 natures'!AY94/'4.1 Comptes 2023 natures'!AY3</f>
        <v>461.5024043715847</v>
      </c>
      <c r="AZ94" s="13">
        <f>'4.1 Comptes 2023 natures'!AZ94/'4.1 Comptes 2023 natures'!AZ3</f>
        <v>773.14081364829406</v>
      </c>
      <c r="BA94" s="13">
        <f>'4.1 Comptes 2023 natures'!BA94/'4.1 Comptes 2023 natures'!BA3</f>
        <v>805.86308420056764</v>
      </c>
      <c r="BB94" s="13">
        <f>'4.1 Comptes 2023 natures'!BB94/'4.1 Comptes 2023 natures'!BB3</f>
        <v>845.81214058475996</v>
      </c>
      <c r="BC94" s="13">
        <f>'4.1 Comptes 2023 natures'!BC94/'4.1 Comptes 2023 natures'!BC3</f>
        <v>452.92458866544791</v>
      </c>
      <c r="BD94" s="13">
        <f>'4.1 Comptes 2023 natures'!BD94/'4.1 Comptes 2023 natures'!BD3</f>
        <v>1166.1519092396845</v>
      </c>
      <c r="BE94" s="13">
        <f>'4.1 Comptes 2023 natures'!BE94/'4.1 Comptes 2023 natures'!BE3</f>
        <v>1565.7727650025215</v>
      </c>
      <c r="BF94" s="13">
        <f>'4.1 Comptes 2023 natures'!BF94/'4.1 Comptes 2023 natures'!BF3</f>
        <v>827.42065520843221</v>
      </c>
      <c r="BG94" s="13">
        <f>'4.1 Comptes 2023 natures'!BG94/'4.1 Comptes 2023 natures'!BG3</f>
        <v>661.91147308781865</v>
      </c>
    </row>
    <row r="95" spans="2:59" x14ac:dyDescent="0.2">
      <c r="C95" s="8">
        <v>425</v>
      </c>
      <c r="D95" s="8" t="s">
        <v>149</v>
      </c>
      <c r="E95" s="13">
        <f>'4.1 Comptes 2023 natures'!E95/'4.1 Comptes 2023 natures'!E3</f>
        <v>9.3879292403746089</v>
      </c>
      <c r="F95" s="13">
        <f>'4.1 Comptes 2023 natures'!F95/'4.1 Comptes 2023 natures'!F3</f>
        <v>7.7509578544061304</v>
      </c>
      <c r="G95" s="13">
        <f>'4.1 Comptes 2023 natures'!G95/'4.1 Comptes 2023 natures'!G3</f>
        <v>5.1593117408906881</v>
      </c>
      <c r="H95" s="13">
        <f>'4.1 Comptes 2023 natures'!H95/'4.1 Comptes 2023 natures'!H3</f>
        <v>1.6179775280898876</v>
      </c>
      <c r="I95" s="13">
        <f>'4.1 Comptes 2023 natures'!I95/'4.1 Comptes 2023 natures'!I3</f>
        <v>12.197491137169347</v>
      </c>
      <c r="J95" s="13">
        <f>'4.1 Comptes 2023 natures'!J95/'4.1 Comptes 2023 natures'!J3</f>
        <v>8.366881625441696</v>
      </c>
      <c r="K95" s="13">
        <f>'4.1 Comptes 2023 natures'!K95/'4.1 Comptes 2023 natures'!K3</f>
        <v>6.3187848751835531</v>
      </c>
      <c r="L95" s="13">
        <f>'4.1 Comptes 2023 natures'!L95/'4.1 Comptes 2023 natures'!L3</f>
        <v>17.375590705706884</v>
      </c>
      <c r="M95" s="13">
        <f>'4.1 Comptes 2023 natures'!M95/'4.1 Comptes 2023 natures'!M3</f>
        <v>64.711661807580171</v>
      </c>
      <c r="N95" s="13">
        <f>'4.1 Comptes 2023 natures'!N95/'4.1 Comptes 2023 natures'!N3</f>
        <v>0</v>
      </c>
      <c r="O95" s="13">
        <f>'4.1 Comptes 2023 natures'!O95/'4.1 Comptes 2023 natures'!O3</f>
        <v>15.856492800869329</v>
      </c>
      <c r="P95" s="13">
        <f>'4.1 Comptes 2023 natures'!P95/'4.1 Comptes 2023 natures'!P3</f>
        <v>45.489084112149534</v>
      </c>
      <c r="Q95" s="13">
        <f>'4.1 Comptes 2023 natures'!Q95/'4.1 Comptes 2023 natures'!Q3</f>
        <v>6.7825892857142858</v>
      </c>
      <c r="R95" s="13">
        <f>'4.1 Comptes 2023 natures'!R95/'4.1 Comptes 2023 natures'!R3</f>
        <v>23.172976190476188</v>
      </c>
      <c r="S95" s="13">
        <f>'4.1 Comptes 2023 natures'!S95/'4.1 Comptes 2023 natures'!S3</f>
        <v>1.6451289398280802</v>
      </c>
      <c r="T95" s="13">
        <f>'4.1 Comptes 2023 natures'!T95/'4.1 Comptes 2023 natures'!T3</f>
        <v>0</v>
      </c>
      <c r="U95" s="13">
        <f>'4.1 Comptes 2023 natures'!U95/'4.1 Comptes 2023 natures'!U3</f>
        <v>6.9102564102564106</v>
      </c>
      <c r="V95" s="13">
        <f>'4.1 Comptes 2023 natures'!V95/'4.1 Comptes 2023 natures'!V3</f>
        <v>29.479976798143852</v>
      </c>
      <c r="W95" s="13">
        <f>'4.1 Comptes 2023 natures'!W95/'4.1 Comptes 2023 natures'!W3</f>
        <v>11.944710920770879</v>
      </c>
      <c r="X95" s="13">
        <f>'4.1 Comptes 2023 natures'!X95/'4.1 Comptes 2023 natures'!X3</f>
        <v>222.58590163934426</v>
      </c>
      <c r="Y95" s="13">
        <f>'4.1 Comptes 2023 natures'!Y95/'4.1 Comptes 2023 natures'!Y3</f>
        <v>28.242851437699684</v>
      </c>
      <c r="Z95" s="13">
        <f>'4.1 Comptes 2023 natures'!Z95/'4.1 Comptes 2023 natures'!Z3</f>
        <v>8.7009744214372713</v>
      </c>
      <c r="AA95" s="13">
        <f>'4.1 Comptes 2023 natures'!AA95/'4.1 Comptes 2023 natures'!AA3</f>
        <v>477.61966442953019</v>
      </c>
      <c r="AB95" s="13">
        <f>'4.1 Comptes 2023 natures'!AB95/'4.1 Comptes 2023 natures'!AB3</f>
        <v>408.16931372549021</v>
      </c>
      <c r="AC95" s="13">
        <f>'4.1 Comptes 2023 natures'!AC95/'4.1 Comptes 2023 natures'!AC3</f>
        <v>248.31950704225352</v>
      </c>
      <c r="AD95" s="13">
        <f>'4.1 Comptes 2023 natures'!AD95/'4.1 Comptes 2023 natures'!AD3</f>
        <v>134.60022968197879</v>
      </c>
      <c r="AE95" s="13">
        <f>'4.1 Comptes 2023 natures'!AE95/'4.1 Comptes 2023 natures'!AE3</f>
        <v>739.47330708661423</v>
      </c>
      <c r="AF95" s="13">
        <f>'4.1 Comptes 2023 natures'!AF95/'4.1 Comptes 2023 natures'!AF3</f>
        <v>153.75460909555443</v>
      </c>
      <c r="AG95" s="13">
        <f>'4.1 Comptes 2023 natures'!AG95/'4.1 Comptes 2023 natures'!AG3</f>
        <v>77.609018691588787</v>
      </c>
      <c r="AH95" s="13">
        <f>'4.1 Comptes 2023 natures'!AH95/'4.1 Comptes 2023 natures'!AH3</f>
        <v>266.86882845188285</v>
      </c>
      <c r="AI95" s="13">
        <f>'4.1 Comptes 2023 natures'!AI95/'4.1 Comptes 2023 natures'!AI3</f>
        <v>133.27600000000001</v>
      </c>
      <c r="AJ95" s="13">
        <f>'4.1 Comptes 2023 natures'!AJ95/'4.1 Comptes 2023 natures'!AJ3</f>
        <v>83.867855270057689</v>
      </c>
      <c r="AK95" s="13">
        <f>'4.1 Comptes 2023 natures'!AK95/'4.1 Comptes 2023 natures'!AK3</f>
        <v>424.67385361552033</v>
      </c>
      <c r="AL95" s="13">
        <f>'4.1 Comptes 2023 natures'!AL95/'4.1 Comptes 2023 natures'!AL3</f>
        <v>0.48063175394846219</v>
      </c>
      <c r="AM95" s="13">
        <f>'4.1 Comptes 2023 natures'!AM95/'4.1 Comptes 2023 natures'!AM3</f>
        <v>409.8535714285714</v>
      </c>
      <c r="AN95" s="13">
        <f>'4.1 Comptes 2023 natures'!AN95/'4.1 Comptes 2023 natures'!AN3</f>
        <v>0</v>
      </c>
      <c r="AO95" s="13">
        <f>'4.1 Comptes 2023 natures'!AO95/'4.1 Comptes 2023 natures'!AO3</f>
        <v>357.03604580152671</v>
      </c>
      <c r="AP95" s="13">
        <f>'4.1 Comptes 2023 natures'!AP95/'4.1 Comptes 2023 natures'!AP3</f>
        <v>13.576703645007923</v>
      </c>
      <c r="AQ95" s="13">
        <f>'4.1 Comptes 2023 natures'!AQ95/'4.1 Comptes 2023 natures'!AQ3</f>
        <v>103.5468315301391</v>
      </c>
      <c r="AR95" s="13">
        <f>'4.1 Comptes 2023 natures'!AR95/'4.1 Comptes 2023 natures'!AR3</f>
        <v>248.48231622746187</v>
      </c>
      <c r="AS95" s="13">
        <f>'4.1 Comptes 2023 natures'!AS95/'4.1 Comptes 2023 natures'!AS3</f>
        <v>89.910518867924523</v>
      </c>
      <c r="AT95" s="13">
        <f>'4.1 Comptes 2023 natures'!AT95/'4.1 Comptes 2023 natures'!AT3</f>
        <v>188.50847133757964</v>
      </c>
      <c r="AU95" s="13">
        <f>'4.1 Comptes 2023 natures'!AU95/'4.1 Comptes 2023 natures'!AU3</f>
        <v>63.078475336322867</v>
      </c>
      <c r="AV95" s="13">
        <f>'4.1 Comptes 2023 natures'!AV95/'4.1 Comptes 2023 natures'!AV3</f>
        <v>102.17624031007752</v>
      </c>
      <c r="AW95" s="13">
        <f>'4.1 Comptes 2023 natures'!AW95/'4.1 Comptes 2023 natures'!AW3</f>
        <v>422.24063360881541</v>
      </c>
      <c r="AX95" s="13">
        <f>'4.1 Comptes 2023 natures'!AX95/'4.1 Comptes 2023 natures'!AX3</f>
        <v>5.3373493975903612</v>
      </c>
      <c r="AY95" s="13">
        <f>'4.1 Comptes 2023 natures'!AY95/'4.1 Comptes 2023 natures'!AY3</f>
        <v>137.17040072859746</v>
      </c>
      <c r="AZ95" s="13">
        <f>'4.1 Comptes 2023 natures'!AZ95/'4.1 Comptes 2023 natures'!AZ3</f>
        <v>6.9156167979002623</v>
      </c>
      <c r="BA95" s="13">
        <f>'4.1 Comptes 2023 natures'!BA95/'4.1 Comptes 2023 natures'!BA3</f>
        <v>7.9126773888363298</v>
      </c>
      <c r="BB95" s="13">
        <f>'4.1 Comptes 2023 natures'!BB95/'4.1 Comptes 2023 natures'!BB3</f>
        <v>13.747612482957129</v>
      </c>
      <c r="BC95" s="13">
        <f>'4.1 Comptes 2023 natures'!BC95/'4.1 Comptes 2023 natures'!BC3</f>
        <v>294.76937842778796</v>
      </c>
      <c r="BD95" s="13">
        <f>'4.1 Comptes 2023 natures'!BD95/'4.1 Comptes 2023 natures'!BD3</f>
        <v>60.391419488115041</v>
      </c>
      <c r="BE95" s="13">
        <f>'4.1 Comptes 2023 natures'!BE95/'4.1 Comptes 2023 natures'!BE3</f>
        <v>15.647460665658098</v>
      </c>
      <c r="BF95" s="13">
        <f>'4.1 Comptes 2023 natures'!BF95/'4.1 Comptes 2023 natures'!BF3</f>
        <v>152.46883771721582</v>
      </c>
      <c r="BG95" s="13">
        <f>'4.1 Comptes 2023 natures'!BG95/'4.1 Comptes 2023 natures'!BG3</f>
        <v>93.436462618549086</v>
      </c>
    </row>
    <row r="96" spans="2:59" x14ac:dyDescent="0.2">
      <c r="C96" s="8">
        <v>426</v>
      </c>
      <c r="D96" s="8" t="s">
        <v>150</v>
      </c>
      <c r="E96" s="13">
        <f>'4.1 Comptes 2023 natures'!E96/'4.1 Comptes 2023 natures'!E3</f>
        <v>40.727991675338188</v>
      </c>
      <c r="F96" s="13">
        <f>'4.1 Comptes 2023 natures'!F96/'4.1 Comptes 2023 natures'!F3</f>
        <v>14.658429118773945</v>
      </c>
      <c r="G96" s="13">
        <f>'4.1 Comptes 2023 natures'!G96/'4.1 Comptes 2023 natures'!G3</f>
        <v>24.724999999999998</v>
      </c>
      <c r="H96" s="13">
        <f>'4.1 Comptes 2023 natures'!H96/'4.1 Comptes 2023 natures'!H3</f>
        <v>76.117550561797742</v>
      </c>
      <c r="I96" s="13">
        <f>'4.1 Comptes 2023 natures'!I96/'4.1 Comptes 2023 natures'!I3</f>
        <v>42.200504499590949</v>
      </c>
      <c r="J96" s="13">
        <f>'4.1 Comptes 2023 natures'!J96/'4.1 Comptes 2023 natures'!J3</f>
        <v>15.634664310954063</v>
      </c>
      <c r="K96" s="13">
        <f>'4.1 Comptes 2023 natures'!K96/'4.1 Comptes 2023 natures'!K3</f>
        <v>119.64908957415565</v>
      </c>
      <c r="L96" s="13">
        <f>'4.1 Comptes 2023 natures'!L96/'4.1 Comptes 2023 natures'!L3</f>
        <v>23.693734202056675</v>
      </c>
      <c r="M96" s="13">
        <f>'4.1 Comptes 2023 natures'!M96/'4.1 Comptes 2023 natures'!M3</f>
        <v>83.523892128279883</v>
      </c>
      <c r="N96" s="13">
        <f>'4.1 Comptes 2023 natures'!N96/'4.1 Comptes 2023 natures'!N3</f>
        <v>0</v>
      </c>
      <c r="O96" s="13">
        <f>'4.1 Comptes 2023 natures'!O96/'4.1 Comptes 2023 natures'!O3</f>
        <v>44.966658516707412</v>
      </c>
      <c r="P96" s="13">
        <f>'4.1 Comptes 2023 natures'!P96/'4.1 Comptes 2023 natures'!P3</f>
        <v>81.189626168224294</v>
      </c>
      <c r="Q96" s="13">
        <f>'4.1 Comptes 2023 natures'!Q96/'4.1 Comptes 2023 natures'!Q3</f>
        <v>6.2098214285714288</v>
      </c>
      <c r="R96" s="13">
        <f>'4.1 Comptes 2023 natures'!R96/'4.1 Comptes 2023 natures'!R3</f>
        <v>56.650952380952383</v>
      </c>
      <c r="S96" s="13">
        <f>'4.1 Comptes 2023 natures'!S96/'4.1 Comptes 2023 natures'!S3</f>
        <v>73.838825214899714</v>
      </c>
      <c r="T96" s="13">
        <f>'4.1 Comptes 2023 natures'!T96/'4.1 Comptes 2023 natures'!T3</f>
        <v>178.20736698499317</v>
      </c>
      <c r="U96" s="13">
        <f>'4.1 Comptes 2023 natures'!U96/'4.1 Comptes 2023 natures'!U3</f>
        <v>139.62545787545787</v>
      </c>
      <c r="V96" s="13">
        <f>'4.1 Comptes 2023 natures'!V96/'4.1 Comptes 2023 natures'!V3</f>
        <v>22.41786542923434</v>
      </c>
      <c r="W96" s="13">
        <f>'4.1 Comptes 2023 natures'!W96/'4.1 Comptes 2023 natures'!W3</f>
        <v>21.237320281431632</v>
      </c>
      <c r="X96" s="13">
        <f>'4.1 Comptes 2023 natures'!X96/'4.1 Comptes 2023 natures'!X3</f>
        <v>18.507213114754098</v>
      </c>
      <c r="Y96" s="13">
        <f>'4.1 Comptes 2023 natures'!Y96/'4.1 Comptes 2023 natures'!Y3</f>
        <v>45.952156549520765</v>
      </c>
      <c r="Z96" s="13">
        <f>'4.1 Comptes 2023 natures'!Z96/'4.1 Comptes 2023 natures'!Z3</f>
        <v>14.393422655298416</v>
      </c>
      <c r="AA96" s="13">
        <f>'4.1 Comptes 2023 natures'!AA96/'4.1 Comptes 2023 natures'!AA3</f>
        <v>30.981879194630874</v>
      </c>
      <c r="AB96" s="13">
        <f>'4.1 Comptes 2023 natures'!AB96/'4.1 Comptes 2023 natures'!AB3</f>
        <v>76.616470588235302</v>
      </c>
      <c r="AC96" s="13">
        <f>'4.1 Comptes 2023 natures'!AC96/'4.1 Comptes 2023 natures'!AC3</f>
        <v>32.072676056338025</v>
      </c>
      <c r="AD96" s="13">
        <f>'4.1 Comptes 2023 natures'!AD96/'4.1 Comptes 2023 natures'!AD3</f>
        <v>65.582067137809176</v>
      </c>
      <c r="AE96" s="13">
        <f>'4.1 Comptes 2023 natures'!AE96/'4.1 Comptes 2023 natures'!AE3</f>
        <v>17.089271653543307</v>
      </c>
      <c r="AF96" s="13">
        <f>'4.1 Comptes 2023 natures'!AF96/'4.1 Comptes 2023 natures'!AF3</f>
        <v>14.528589678078692</v>
      </c>
      <c r="AG96" s="13">
        <f>'4.1 Comptes 2023 natures'!AG96/'4.1 Comptes 2023 natures'!AG3</f>
        <v>33.872644080996885</v>
      </c>
      <c r="AH96" s="13">
        <f>'4.1 Comptes 2023 natures'!AH96/'4.1 Comptes 2023 natures'!AH3</f>
        <v>127.27397489539749</v>
      </c>
      <c r="AI96" s="13">
        <f>'4.1 Comptes 2023 natures'!AI96/'4.1 Comptes 2023 natures'!AI3</f>
        <v>85.384240000000005</v>
      </c>
      <c r="AJ96" s="13">
        <f>'4.1 Comptes 2023 natures'!AJ96/'4.1 Comptes 2023 natures'!AJ3</f>
        <v>17.233875196643943</v>
      </c>
      <c r="AK96" s="13">
        <f>'4.1 Comptes 2023 natures'!AK96/'4.1 Comptes 2023 natures'!AK3</f>
        <v>23.957072310405643</v>
      </c>
      <c r="AL96" s="13">
        <f>'4.1 Comptes 2023 natures'!AL96/'4.1 Comptes 2023 natures'!AL3</f>
        <v>86.868246051537824</v>
      </c>
      <c r="AM96" s="13">
        <f>'4.1 Comptes 2023 natures'!AM96/'4.1 Comptes 2023 natures'!AM3</f>
        <v>99.76696428571428</v>
      </c>
      <c r="AN96" s="13">
        <f>'4.1 Comptes 2023 natures'!AN96/'4.1 Comptes 2023 natures'!AN3</f>
        <v>0.81379163108454311</v>
      </c>
      <c r="AO96" s="13">
        <f>'4.1 Comptes 2023 natures'!AO96/'4.1 Comptes 2023 natures'!AO3</f>
        <v>80.602977099236639</v>
      </c>
      <c r="AP96" s="13">
        <f>'4.1 Comptes 2023 natures'!AP96/'4.1 Comptes 2023 natures'!AP3</f>
        <v>78.610459587955617</v>
      </c>
      <c r="AQ96" s="13">
        <f>'4.1 Comptes 2023 natures'!AQ96/'4.1 Comptes 2023 natures'!AQ3</f>
        <v>64.403400309119007</v>
      </c>
      <c r="AR96" s="13">
        <f>'4.1 Comptes 2023 natures'!AR96/'4.1 Comptes 2023 natures'!AR3</f>
        <v>36.879611650485437</v>
      </c>
      <c r="AS96" s="13">
        <f>'4.1 Comptes 2023 natures'!AS96/'4.1 Comptes 2023 natures'!AS3</f>
        <v>28.352433962264154</v>
      </c>
      <c r="AT96" s="13">
        <f>'4.1 Comptes 2023 natures'!AT96/'4.1 Comptes 2023 natures'!AT3</f>
        <v>12.147292993630574</v>
      </c>
      <c r="AU96" s="13">
        <f>'4.1 Comptes 2023 natures'!AU96/'4.1 Comptes 2023 natures'!AU3</f>
        <v>34.56404402772116</v>
      </c>
      <c r="AV96" s="13">
        <f>'4.1 Comptes 2023 natures'!AV96/'4.1 Comptes 2023 natures'!AV3</f>
        <v>22.979651162790699</v>
      </c>
      <c r="AW96" s="13">
        <f>'4.1 Comptes 2023 natures'!AW96/'4.1 Comptes 2023 natures'!AW3</f>
        <v>2.8780991735537191</v>
      </c>
      <c r="AX96" s="13">
        <f>'4.1 Comptes 2023 natures'!AX96/'4.1 Comptes 2023 natures'!AX3</f>
        <v>44.924698795180724</v>
      </c>
      <c r="AY96" s="13">
        <f>'4.1 Comptes 2023 natures'!AY96/'4.1 Comptes 2023 natures'!AY3</f>
        <v>38.82422586520947</v>
      </c>
      <c r="AZ96" s="13">
        <f>'4.1 Comptes 2023 natures'!AZ96/'4.1 Comptes 2023 natures'!AZ3</f>
        <v>68.238530183727036</v>
      </c>
      <c r="BA96" s="13">
        <f>'4.1 Comptes 2023 natures'!BA96/'4.1 Comptes 2023 natures'!BA3</f>
        <v>142.59456007568591</v>
      </c>
      <c r="BB96" s="13">
        <f>'4.1 Comptes 2023 natures'!BB96/'4.1 Comptes 2023 natures'!BB3</f>
        <v>45.348292682926832</v>
      </c>
      <c r="BC96" s="13">
        <f>'4.1 Comptes 2023 natures'!BC96/'4.1 Comptes 2023 natures'!BC3</f>
        <v>43.843053016453382</v>
      </c>
      <c r="BD96" s="13">
        <f>'4.1 Comptes 2023 natures'!BD96/'4.1 Comptes 2023 natures'!BD3</f>
        <v>42.560249369533729</v>
      </c>
      <c r="BE96" s="13">
        <f>'4.1 Comptes 2023 natures'!BE96/'4.1 Comptes 2023 natures'!BE3</f>
        <v>43.162384014120015</v>
      </c>
      <c r="BF96" s="13">
        <f>'4.1 Comptes 2023 natures'!BF96/'4.1 Comptes 2023 natures'!BF3</f>
        <v>33.765341373088972</v>
      </c>
      <c r="BG96" s="13">
        <f>'4.1 Comptes 2023 natures'!BG96/'4.1 Comptes 2023 natures'!BG3</f>
        <v>45.382375087243915</v>
      </c>
    </row>
    <row r="97" spans="2:59" x14ac:dyDescent="0.2">
      <c r="C97" s="8">
        <v>427</v>
      </c>
      <c r="D97" s="8" t="s">
        <v>151</v>
      </c>
      <c r="E97" s="13">
        <f>'4.1 Comptes 2023 natures'!E97/'4.1 Comptes 2023 natures'!E3</f>
        <v>0.31217481789802287</v>
      </c>
      <c r="F97" s="13">
        <f>'4.1 Comptes 2023 natures'!F97/'4.1 Comptes 2023 natures'!F3</f>
        <v>0</v>
      </c>
      <c r="G97" s="13">
        <f>'4.1 Comptes 2023 natures'!G97/'4.1 Comptes 2023 natures'!G3</f>
        <v>0</v>
      </c>
      <c r="H97" s="13">
        <f>'4.1 Comptes 2023 natures'!H97/'4.1 Comptes 2023 natures'!H3</f>
        <v>0</v>
      </c>
      <c r="I97" s="13">
        <f>'4.1 Comptes 2023 natures'!I97/'4.1 Comptes 2023 natures'!I3</f>
        <v>0.25088628306517591</v>
      </c>
      <c r="J97" s="13">
        <f>'4.1 Comptes 2023 natures'!J97/'4.1 Comptes 2023 natures'!J3</f>
        <v>4.7114252061248529E-2</v>
      </c>
      <c r="K97" s="13">
        <f>'4.1 Comptes 2023 natures'!K97/'4.1 Comptes 2023 natures'!K3</f>
        <v>0</v>
      </c>
      <c r="L97" s="13">
        <f>'4.1 Comptes 2023 natures'!L97/'4.1 Comptes 2023 natures'!L3</f>
        <v>8.552577125363058</v>
      </c>
      <c r="M97" s="13">
        <f>'4.1 Comptes 2023 natures'!M97/'4.1 Comptes 2023 natures'!M3</f>
        <v>0</v>
      </c>
      <c r="N97" s="13">
        <f>'4.1 Comptes 2023 natures'!N97/'4.1 Comptes 2023 natures'!N3</f>
        <v>0</v>
      </c>
      <c r="O97" s="13">
        <f>'4.1 Comptes 2023 natures'!O97/'4.1 Comptes 2023 natures'!O3</f>
        <v>1.8894322195055691</v>
      </c>
      <c r="P97" s="13">
        <f>'4.1 Comptes 2023 natures'!P97/'4.1 Comptes 2023 natures'!P3</f>
        <v>0</v>
      </c>
      <c r="Q97" s="13">
        <f>'4.1 Comptes 2023 natures'!Q97/'4.1 Comptes 2023 natures'!Q3</f>
        <v>0</v>
      </c>
      <c r="R97" s="13">
        <f>'4.1 Comptes 2023 natures'!R97/'4.1 Comptes 2023 natures'!R3</f>
        <v>0</v>
      </c>
      <c r="S97" s="13">
        <f>'4.1 Comptes 2023 natures'!S97/'4.1 Comptes 2023 natures'!S3</f>
        <v>0.57306590257879653</v>
      </c>
      <c r="T97" s="13">
        <f>'4.1 Comptes 2023 natures'!T97/'4.1 Comptes 2023 natures'!T3</f>
        <v>0.13642564802182811</v>
      </c>
      <c r="U97" s="13">
        <f>'4.1 Comptes 2023 natures'!U97/'4.1 Comptes 2023 natures'!U3</f>
        <v>0</v>
      </c>
      <c r="V97" s="13">
        <f>'4.1 Comptes 2023 natures'!V97/'4.1 Comptes 2023 natures'!V3</f>
        <v>0</v>
      </c>
      <c r="W97" s="13">
        <f>'4.1 Comptes 2023 natures'!W97/'4.1 Comptes 2023 natures'!W3</f>
        <v>0</v>
      </c>
      <c r="X97" s="13">
        <f>'4.1 Comptes 2023 natures'!X97/'4.1 Comptes 2023 natures'!X3</f>
        <v>0</v>
      </c>
      <c r="Y97" s="13">
        <f>'4.1 Comptes 2023 natures'!Y97/'4.1 Comptes 2023 natures'!Y3</f>
        <v>0.79872204472843455</v>
      </c>
      <c r="Z97" s="13">
        <f>'4.1 Comptes 2023 natures'!Z97/'4.1 Comptes 2023 natures'!Z3</f>
        <v>0</v>
      </c>
      <c r="AA97" s="13">
        <f>'4.1 Comptes 2023 natures'!AA97/'4.1 Comptes 2023 natures'!AA3</f>
        <v>0</v>
      </c>
      <c r="AB97" s="13">
        <f>'4.1 Comptes 2023 natures'!AB97/'4.1 Comptes 2023 natures'!AB3</f>
        <v>0</v>
      </c>
      <c r="AC97" s="13">
        <f>'4.1 Comptes 2023 natures'!AC97/'4.1 Comptes 2023 natures'!AC3</f>
        <v>0</v>
      </c>
      <c r="AD97" s="13">
        <f>'4.1 Comptes 2023 natures'!AD97/'4.1 Comptes 2023 natures'!AD3</f>
        <v>0</v>
      </c>
      <c r="AE97" s="13">
        <f>'4.1 Comptes 2023 natures'!AE97/'4.1 Comptes 2023 natures'!AE3</f>
        <v>0</v>
      </c>
      <c r="AF97" s="13">
        <f>'4.1 Comptes 2023 natures'!AF97/'4.1 Comptes 2023 natures'!AF3</f>
        <v>0.9862033725089423</v>
      </c>
      <c r="AG97" s="13">
        <f>'4.1 Comptes 2023 natures'!AG97/'4.1 Comptes 2023 natures'!AG3</f>
        <v>8.6323987538940816</v>
      </c>
      <c r="AH97" s="13">
        <f>'4.1 Comptes 2023 natures'!AH97/'4.1 Comptes 2023 natures'!AH3</f>
        <v>0</v>
      </c>
      <c r="AI97" s="13">
        <f>'4.1 Comptes 2023 natures'!AI97/'4.1 Comptes 2023 natures'!AI3</f>
        <v>0</v>
      </c>
      <c r="AJ97" s="13">
        <f>'4.1 Comptes 2023 natures'!AJ97/'4.1 Comptes 2023 natures'!AJ3</f>
        <v>0</v>
      </c>
      <c r="AK97" s="13">
        <f>'4.1 Comptes 2023 natures'!AK97/'4.1 Comptes 2023 natures'!AK3</f>
        <v>0</v>
      </c>
      <c r="AL97" s="13">
        <f>'4.1 Comptes 2023 natures'!AL97/'4.1 Comptes 2023 natures'!AL3</f>
        <v>0</v>
      </c>
      <c r="AM97" s="13">
        <f>'4.1 Comptes 2023 natures'!AM97/'4.1 Comptes 2023 natures'!AM3</f>
        <v>0</v>
      </c>
      <c r="AN97" s="13">
        <f>'4.1 Comptes 2023 natures'!AN97/'4.1 Comptes 2023 natures'!AN3</f>
        <v>0.17079419299743809</v>
      </c>
      <c r="AO97" s="13">
        <f>'4.1 Comptes 2023 natures'!AO97/'4.1 Comptes 2023 natures'!AO3</f>
        <v>0</v>
      </c>
      <c r="AP97" s="13">
        <f>'4.1 Comptes 2023 natures'!AP97/'4.1 Comptes 2023 natures'!AP3</f>
        <v>0</v>
      </c>
      <c r="AQ97" s="13">
        <f>'4.1 Comptes 2023 natures'!AQ97/'4.1 Comptes 2023 natures'!AQ3</f>
        <v>0.17001545595054096</v>
      </c>
      <c r="AR97" s="13">
        <f>'4.1 Comptes 2023 natures'!AR97/'4.1 Comptes 2023 natures'!AR3</f>
        <v>0</v>
      </c>
      <c r="AS97" s="13">
        <f>'4.1 Comptes 2023 natures'!AS97/'4.1 Comptes 2023 natures'!AS3</f>
        <v>0</v>
      </c>
      <c r="AT97" s="13">
        <f>'4.1 Comptes 2023 natures'!AT97/'4.1 Comptes 2023 natures'!AT3</f>
        <v>0</v>
      </c>
      <c r="AU97" s="13">
        <f>'4.1 Comptes 2023 natures'!AU97/'4.1 Comptes 2023 natures'!AU3</f>
        <v>0.83571137382796579</v>
      </c>
      <c r="AV97" s="13">
        <f>'4.1 Comptes 2023 natures'!AV97/'4.1 Comptes 2023 natures'!AV3</f>
        <v>0</v>
      </c>
      <c r="AW97" s="13">
        <f>'4.1 Comptes 2023 natures'!AW97/'4.1 Comptes 2023 natures'!AW3</f>
        <v>0</v>
      </c>
      <c r="AX97" s="13">
        <f>'4.1 Comptes 2023 natures'!AX97/'4.1 Comptes 2023 natures'!AX3</f>
        <v>0</v>
      </c>
      <c r="AY97" s="13">
        <f>'4.1 Comptes 2023 natures'!AY97/'4.1 Comptes 2023 natures'!AY3</f>
        <v>0.54644808743169404</v>
      </c>
      <c r="AZ97" s="13">
        <f>'4.1 Comptes 2023 natures'!AZ97/'4.1 Comptes 2023 natures'!AZ3</f>
        <v>0</v>
      </c>
      <c r="BA97" s="13">
        <f>'4.1 Comptes 2023 natures'!BA97/'4.1 Comptes 2023 natures'!BA3</f>
        <v>0.28382213812677387</v>
      </c>
      <c r="BB97" s="13">
        <f>'4.1 Comptes 2023 natures'!BB97/'4.1 Comptes 2023 natures'!BB3</f>
        <v>23.100075746099076</v>
      </c>
      <c r="BC97" s="13">
        <f>'4.1 Comptes 2023 natures'!BC97/'4.1 Comptes 2023 natures'!BC3</f>
        <v>2.0877513711151736</v>
      </c>
      <c r="BD97" s="13">
        <f t="shared" ref="BD97:BD98" si="14">SUM(E97:BC97)</f>
        <v>49.373618785173818</v>
      </c>
      <c r="BE97" s="13">
        <f t="shared" ref="BE97:BE98" si="15">SUM(E97:W97)</f>
        <v>11.761676248493698</v>
      </c>
      <c r="BF97" s="13">
        <f t="shared" ref="BF97:BF98" si="16">SUM(X97:AI97)</f>
        <v>10.417324171131458</v>
      </c>
      <c r="BG97" s="13">
        <f t="shared" ref="BG97:BG98" si="17">SUM(AJ97:BC97)</f>
        <v>27.194618365548664</v>
      </c>
    </row>
    <row r="98" spans="2:59" x14ac:dyDescent="0.2">
      <c r="C98" s="8">
        <v>429</v>
      </c>
      <c r="D98" s="8" t="s">
        <v>152</v>
      </c>
      <c r="E98" s="13">
        <f>'4.1 Comptes 2023 natures'!E98/'4.1 Comptes 2023 natures'!E3</f>
        <v>0</v>
      </c>
      <c r="F98" s="13">
        <f>'4.1 Comptes 2023 natures'!F98/'4.1 Comptes 2023 natures'!F3</f>
        <v>0</v>
      </c>
      <c r="G98" s="13">
        <f>'4.1 Comptes 2023 natures'!G98/'4.1 Comptes 2023 natures'!G3</f>
        <v>0</v>
      </c>
      <c r="H98" s="13">
        <f>'4.1 Comptes 2023 natures'!H98/'4.1 Comptes 2023 natures'!H3</f>
        <v>0</v>
      </c>
      <c r="I98" s="13">
        <f>'4.1 Comptes 2023 natures'!I98/'4.1 Comptes 2023 natures'!I3</f>
        <v>0</v>
      </c>
      <c r="J98" s="13">
        <f>'4.1 Comptes 2023 natures'!J98/'4.1 Comptes 2023 natures'!J3</f>
        <v>0</v>
      </c>
      <c r="K98" s="13">
        <f>'4.1 Comptes 2023 natures'!K98/'4.1 Comptes 2023 natures'!K3</f>
        <v>0</v>
      </c>
      <c r="L98" s="13">
        <f>'4.1 Comptes 2023 natures'!L98/'4.1 Comptes 2023 natures'!L3</f>
        <v>0</v>
      </c>
      <c r="M98" s="13">
        <f>'4.1 Comptes 2023 natures'!M98/'4.1 Comptes 2023 natures'!M3</f>
        <v>0</v>
      </c>
      <c r="N98" s="13">
        <f>'4.1 Comptes 2023 natures'!N98/'4.1 Comptes 2023 natures'!N3</f>
        <v>0</v>
      </c>
      <c r="O98" s="13">
        <f>'4.1 Comptes 2023 natures'!O98/'4.1 Comptes 2023 natures'!O3</f>
        <v>2.491890790546047</v>
      </c>
      <c r="P98" s="13">
        <f>'4.1 Comptes 2023 natures'!P98/'4.1 Comptes 2023 natures'!P3</f>
        <v>0</v>
      </c>
      <c r="Q98" s="13">
        <f>'4.1 Comptes 2023 natures'!Q98/'4.1 Comptes 2023 natures'!Q3</f>
        <v>0</v>
      </c>
      <c r="R98" s="13">
        <f>'4.1 Comptes 2023 natures'!R98/'4.1 Comptes 2023 natures'!R3</f>
        <v>0</v>
      </c>
      <c r="S98" s="13">
        <f>'4.1 Comptes 2023 natures'!S98/'4.1 Comptes 2023 natures'!S3</f>
        <v>0</v>
      </c>
      <c r="T98" s="13">
        <f>'4.1 Comptes 2023 natures'!T98/'4.1 Comptes 2023 natures'!T3</f>
        <v>0</v>
      </c>
      <c r="U98" s="13">
        <f>'4.1 Comptes 2023 natures'!U98/'4.1 Comptes 2023 natures'!U3</f>
        <v>2.2137362637362639</v>
      </c>
      <c r="V98" s="13">
        <f>'4.1 Comptes 2023 natures'!V98/'4.1 Comptes 2023 natures'!V3</f>
        <v>0</v>
      </c>
      <c r="W98" s="13">
        <f>'4.1 Comptes 2023 natures'!W98/'4.1 Comptes 2023 natures'!W3</f>
        <v>0</v>
      </c>
      <c r="X98" s="13">
        <f>'4.1 Comptes 2023 natures'!X98/'4.1 Comptes 2023 natures'!X3</f>
        <v>4.4877049180327866</v>
      </c>
      <c r="Y98" s="13">
        <f>'4.1 Comptes 2023 natures'!Y98/'4.1 Comptes 2023 natures'!Y3</f>
        <v>0</v>
      </c>
      <c r="Z98" s="13">
        <f>'4.1 Comptes 2023 natures'!Z98/'4.1 Comptes 2023 natures'!Z3</f>
        <v>59.677466504263087</v>
      </c>
      <c r="AA98" s="13">
        <f>'4.1 Comptes 2023 natures'!AA98/'4.1 Comptes 2023 natures'!AA3</f>
        <v>5.8275167785234894</v>
      </c>
      <c r="AB98" s="13">
        <f>'4.1 Comptes 2023 natures'!AB98/'4.1 Comptes 2023 natures'!AB3</f>
        <v>0</v>
      </c>
      <c r="AC98" s="13">
        <f>'4.1 Comptes 2023 natures'!AC98/'4.1 Comptes 2023 natures'!AC3</f>
        <v>0.6619718309859155</v>
      </c>
      <c r="AD98" s="13">
        <f>'4.1 Comptes 2023 natures'!AD98/'4.1 Comptes 2023 natures'!AD3</f>
        <v>0</v>
      </c>
      <c r="AE98" s="13">
        <f>'4.1 Comptes 2023 natures'!AE98/'4.1 Comptes 2023 natures'!AE3</f>
        <v>0</v>
      </c>
      <c r="AF98" s="13">
        <f>'4.1 Comptes 2023 natures'!AF98/'4.1 Comptes 2023 natures'!AF3</f>
        <v>0</v>
      </c>
      <c r="AG98" s="13">
        <f>'4.1 Comptes 2023 natures'!AG98/'4.1 Comptes 2023 natures'!AG3</f>
        <v>0</v>
      </c>
      <c r="AH98" s="13">
        <f>'4.1 Comptes 2023 natures'!AH98/'4.1 Comptes 2023 natures'!AH3</f>
        <v>0</v>
      </c>
      <c r="AI98" s="13">
        <f>'4.1 Comptes 2023 natures'!AI98/'4.1 Comptes 2023 natures'!AI3</f>
        <v>28.0564</v>
      </c>
      <c r="AJ98" s="13">
        <f>'4.1 Comptes 2023 natures'!AJ98/'4.1 Comptes 2023 natures'!AJ3</f>
        <v>0</v>
      </c>
      <c r="AK98" s="13">
        <f>'4.1 Comptes 2023 natures'!AK98/'4.1 Comptes 2023 natures'!AK3</f>
        <v>0</v>
      </c>
      <c r="AL98" s="13">
        <f>'4.1 Comptes 2023 natures'!AL98/'4.1 Comptes 2023 natures'!AL3</f>
        <v>0</v>
      </c>
      <c r="AM98" s="13">
        <f>'4.1 Comptes 2023 natures'!AM98/'4.1 Comptes 2023 natures'!AM3</f>
        <v>0</v>
      </c>
      <c r="AN98" s="13">
        <f>'4.1 Comptes 2023 natures'!AN98/'4.1 Comptes 2023 natures'!AN3</f>
        <v>8.2692143467122126</v>
      </c>
      <c r="AO98" s="13">
        <f>'4.1 Comptes 2023 natures'!AO98/'4.1 Comptes 2023 natures'!AO3</f>
        <v>0</v>
      </c>
      <c r="AP98" s="13">
        <f>'4.1 Comptes 2023 natures'!AP98/'4.1 Comptes 2023 natures'!AP3</f>
        <v>0</v>
      </c>
      <c r="AQ98" s="13">
        <f>'4.1 Comptes 2023 natures'!AQ98/'4.1 Comptes 2023 natures'!AQ3</f>
        <v>0</v>
      </c>
      <c r="AR98" s="13">
        <f>'4.1 Comptes 2023 natures'!AR98/'4.1 Comptes 2023 natures'!AR3</f>
        <v>0</v>
      </c>
      <c r="AS98" s="13">
        <f>'4.1 Comptes 2023 natures'!AS98/'4.1 Comptes 2023 natures'!AS3</f>
        <v>0</v>
      </c>
      <c r="AT98" s="13">
        <f>'4.1 Comptes 2023 natures'!AT98/'4.1 Comptes 2023 natures'!AT3</f>
        <v>0</v>
      </c>
      <c r="AU98" s="13">
        <f>'4.1 Comptes 2023 natures'!AU98/'4.1 Comptes 2023 natures'!AU3</f>
        <v>0</v>
      </c>
      <c r="AV98" s="13">
        <f>'4.1 Comptes 2023 natures'!AV98/'4.1 Comptes 2023 natures'!AV3</f>
        <v>0</v>
      </c>
      <c r="AW98" s="13">
        <f>'4.1 Comptes 2023 natures'!AW98/'4.1 Comptes 2023 natures'!AW3</f>
        <v>0</v>
      </c>
      <c r="AX98" s="13">
        <f>'4.1 Comptes 2023 natures'!AX98/'4.1 Comptes 2023 natures'!AX3</f>
        <v>0</v>
      </c>
      <c r="AY98" s="13">
        <f>'4.1 Comptes 2023 natures'!AY98/'4.1 Comptes 2023 natures'!AY3</f>
        <v>0</v>
      </c>
      <c r="AZ98" s="13">
        <f>'4.1 Comptes 2023 natures'!AZ98/'4.1 Comptes 2023 natures'!AZ3</f>
        <v>0</v>
      </c>
      <c r="BA98" s="13">
        <f>'4.1 Comptes 2023 natures'!BA98/'4.1 Comptes 2023 natures'!BA3</f>
        <v>0</v>
      </c>
      <c r="BB98" s="13">
        <f>'4.1 Comptes 2023 natures'!BB98/'4.1 Comptes 2023 natures'!BB3</f>
        <v>0</v>
      </c>
      <c r="BC98" s="13">
        <f>'4.1 Comptes 2023 natures'!BC98/'4.1 Comptes 2023 natures'!BC3</f>
        <v>0</v>
      </c>
      <c r="BD98" s="13">
        <f t="shared" si="14"/>
        <v>111.68590143279981</v>
      </c>
      <c r="BE98" s="13">
        <f t="shared" si="15"/>
        <v>4.7056270542823109</v>
      </c>
      <c r="BF98" s="13">
        <f t="shared" si="16"/>
        <v>98.711060031805275</v>
      </c>
      <c r="BG98" s="13">
        <f t="shared" si="17"/>
        <v>8.2692143467122126</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18">F101+F102+F103+F104</f>
        <v>6.7808429118773947</v>
      </c>
      <c r="G100" s="78">
        <f t="shared" si="18"/>
        <v>0</v>
      </c>
      <c r="H100" s="78">
        <f t="shared" si="18"/>
        <v>0</v>
      </c>
      <c r="I100" s="78">
        <f t="shared" si="18"/>
        <v>0</v>
      </c>
      <c r="J100" s="78">
        <f t="shared" si="18"/>
        <v>0</v>
      </c>
      <c r="K100" s="78">
        <f t="shared" si="18"/>
        <v>0</v>
      </c>
      <c r="L100" s="78">
        <f t="shared" si="18"/>
        <v>166.36021351754454</v>
      </c>
      <c r="M100" s="78">
        <f t="shared" si="18"/>
        <v>6.115852769679301</v>
      </c>
      <c r="N100" s="78">
        <f t="shared" si="18"/>
        <v>84.112393162393161</v>
      </c>
      <c r="O100" s="78">
        <f t="shared" si="18"/>
        <v>6.8530969845150773</v>
      </c>
      <c r="P100" s="78">
        <f t="shared" si="18"/>
        <v>0</v>
      </c>
      <c r="Q100" s="78">
        <f t="shared" si="18"/>
        <v>0</v>
      </c>
      <c r="R100" s="78">
        <f t="shared" si="18"/>
        <v>0</v>
      </c>
      <c r="S100" s="78">
        <f t="shared" si="18"/>
        <v>0</v>
      </c>
      <c r="T100" s="78">
        <f t="shared" si="18"/>
        <v>14.84931787175989</v>
      </c>
      <c r="U100" s="78">
        <f t="shared" si="18"/>
        <v>0.5494505494505495</v>
      </c>
      <c r="V100" s="78">
        <f t="shared" si="18"/>
        <v>5.1433874709976797</v>
      </c>
      <c r="W100" s="78">
        <f t="shared" si="18"/>
        <v>1.9984888345059653</v>
      </c>
      <c r="X100" s="78">
        <f t="shared" si="18"/>
        <v>0</v>
      </c>
      <c r="Y100" s="78">
        <f t="shared" si="18"/>
        <v>5.5307507987220452</v>
      </c>
      <c r="Z100" s="78">
        <f t="shared" si="18"/>
        <v>0</v>
      </c>
      <c r="AA100" s="78">
        <f t="shared" si="18"/>
        <v>78.008389261744966</v>
      </c>
      <c r="AB100" s="78">
        <f t="shared" si="18"/>
        <v>0</v>
      </c>
      <c r="AC100" s="78">
        <f t="shared" si="18"/>
        <v>4.0015633802816906</v>
      </c>
      <c r="AD100" s="78">
        <f t="shared" si="18"/>
        <v>2.5181095406360425</v>
      </c>
      <c r="AE100" s="78">
        <f t="shared" si="18"/>
        <v>0</v>
      </c>
      <c r="AF100" s="78">
        <f t="shared" si="18"/>
        <v>5.3551354113438938</v>
      </c>
      <c r="AG100" s="78">
        <f t="shared" si="18"/>
        <v>19.95136292834891</v>
      </c>
      <c r="AH100" s="78">
        <f t="shared" si="18"/>
        <v>0</v>
      </c>
      <c r="AI100" s="78">
        <f t="shared" si="18"/>
        <v>-20.541599999999999</v>
      </c>
      <c r="AJ100" s="78">
        <f t="shared" si="18"/>
        <v>0</v>
      </c>
      <c r="AK100" s="78">
        <f t="shared" si="18"/>
        <v>23.787125220458552</v>
      </c>
      <c r="AL100" s="78">
        <f t="shared" si="18"/>
        <v>0</v>
      </c>
      <c r="AM100" s="78">
        <f t="shared" si="18"/>
        <v>0</v>
      </c>
      <c r="AN100" s="78">
        <f t="shared" si="18"/>
        <v>0</v>
      </c>
      <c r="AO100" s="78">
        <f t="shared" si="18"/>
        <v>0</v>
      </c>
      <c r="AP100" s="78">
        <f t="shared" si="18"/>
        <v>0</v>
      </c>
      <c r="AQ100" s="78">
        <f t="shared" si="18"/>
        <v>8.5780525502318392E-2</v>
      </c>
      <c r="AR100" s="78">
        <f t="shared" si="18"/>
        <v>0</v>
      </c>
      <c r="AS100" s="78">
        <f t="shared" si="18"/>
        <v>0</v>
      </c>
      <c r="AT100" s="78">
        <f t="shared" si="18"/>
        <v>0</v>
      </c>
      <c r="AU100" s="78">
        <f t="shared" si="18"/>
        <v>0</v>
      </c>
      <c r="AV100" s="78">
        <f t="shared" si="18"/>
        <v>2.364341085271318</v>
      </c>
      <c r="AW100" s="78">
        <f t="shared" si="18"/>
        <v>0</v>
      </c>
      <c r="AX100" s="78">
        <f t="shared" si="18"/>
        <v>0</v>
      </c>
      <c r="AY100" s="78">
        <f t="shared" si="18"/>
        <v>0</v>
      </c>
      <c r="AZ100" s="78">
        <f t="shared" si="18"/>
        <v>0</v>
      </c>
      <c r="BA100" s="78">
        <f t="shared" si="18"/>
        <v>5.1948912015137179</v>
      </c>
      <c r="BB100" s="78">
        <f t="shared" si="18"/>
        <v>2.4571898197242841</v>
      </c>
      <c r="BC100" s="78">
        <f t="shared" si="18"/>
        <v>0</v>
      </c>
      <c r="BD100" s="78">
        <f t="shared" si="18"/>
        <v>31.41720220529055</v>
      </c>
      <c r="BE100" s="78">
        <f t="shared" si="18"/>
        <v>55.711083459404939</v>
      </c>
      <c r="BF100" s="78">
        <f t="shared" si="18"/>
        <v>7.7828800683695762</v>
      </c>
      <c r="BG100" s="78">
        <f t="shared" si="18"/>
        <v>2.0785199326682267</v>
      </c>
    </row>
    <row r="101" spans="2:59" x14ac:dyDescent="0.2">
      <c r="C101" s="8">
        <v>430</v>
      </c>
      <c r="D101" s="8" t="s">
        <v>154</v>
      </c>
      <c r="E101" s="13">
        <f>'4.1 Comptes 2023 natures'!E101/'4.1 Comptes 2023 natures'!E3</f>
        <v>0</v>
      </c>
      <c r="F101" s="13">
        <f>'4.1 Comptes 2023 natures'!F101/'4.1 Comptes 2023 natures'!F3</f>
        <v>6.7808429118773947</v>
      </c>
      <c r="G101" s="13">
        <f>'4.1 Comptes 2023 natures'!G101/'4.1 Comptes 2023 natures'!G3</f>
        <v>0</v>
      </c>
      <c r="H101" s="13">
        <f>'4.1 Comptes 2023 natures'!H101/'4.1 Comptes 2023 natures'!H3</f>
        <v>0</v>
      </c>
      <c r="I101" s="13">
        <f>'4.1 Comptes 2023 natures'!I101/'4.1 Comptes 2023 natures'!I3</f>
        <v>0</v>
      </c>
      <c r="J101" s="13">
        <f>'4.1 Comptes 2023 natures'!J101/'4.1 Comptes 2023 natures'!J3</f>
        <v>0</v>
      </c>
      <c r="K101" s="13">
        <f>'4.1 Comptes 2023 natures'!K101/'4.1 Comptes 2023 natures'!K3</f>
        <v>0</v>
      </c>
      <c r="L101" s="13">
        <f>'4.1 Comptes 2023 natures'!L101/'4.1 Comptes 2023 natures'!L3</f>
        <v>166.36021351754454</v>
      </c>
      <c r="M101" s="13">
        <f>'4.1 Comptes 2023 natures'!M101/'4.1 Comptes 2023 natures'!M3</f>
        <v>6.115852769679301</v>
      </c>
      <c r="N101" s="13">
        <f>'4.1 Comptes 2023 natures'!N101/'4.1 Comptes 2023 natures'!N3</f>
        <v>0</v>
      </c>
      <c r="O101" s="13">
        <f>'4.1 Comptes 2023 natures'!O101/'4.1 Comptes 2023 natures'!O3</f>
        <v>0</v>
      </c>
      <c r="P101" s="13">
        <f>'4.1 Comptes 2023 natures'!P101/'4.1 Comptes 2023 natures'!P3</f>
        <v>0</v>
      </c>
      <c r="Q101" s="13">
        <f>'4.1 Comptes 2023 natures'!Q101/'4.1 Comptes 2023 natures'!Q3</f>
        <v>0</v>
      </c>
      <c r="R101" s="13">
        <f>'4.1 Comptes 2023 natures'!R101/'4.1 Comptes 2023 natures'!R3</f>
        <v>0</v>
      </c>
      <c r="S101" s="13">
        <f>'4.1 Comptes 2023 natures'!S101/'4.1 Comptes 2023 natures'!S3</f>
        <v>0</v>
      </c>
      <c r="T101" s="13">
        <f>'4.1 Comptes 2023 natures'!T101/'4.1 Comptes 2023 natures'!T3</f>
        <v>0</v>
      </c>
      <c r="U101" s="13">
        <f>'4.1 Comptes 2023 natures'!U101/'4.1 Comptes 2023 natures'!U3</f>
        <v>0</v>
      </c>
      <c r="V101" s="13">
        <f>'4.1 Comptes 2023 natures'!V101/'4.1 Comptes 2023 natures'!V3</f>
        <v>2.7842227378190256</v>
      </c>
      <c r="W101" s="13">
        <f>'4.1 Comptes 2023 natures'!W101/'4.1 Comptes 2023 natures'!W3</f>
        <v>1.9984888345059653</v>
      </c>
      <c r="X101" s="13">
        <f>'4.1 Comptes 2023 natures'!X101/'4.1 Comptes 2023 natures'!X3</f>
        <v>0</v>
      </c>
      <c r="Y101" s="13">
        <f>'4.1 Comptes 2023 natures'!Y101/'4.1 Comptes 2023 natures'!Y3</f>
        <v>0.19968051118210864</v>
      </c>
      <c r="Z101" s="13">
        <f>'4.1 Comptes 2023 natures'!Z101/'4.1 Comptes 2023 natures'!Z3</f>
        <v>0</v>
      </c>
      <c r="AA101" s="13">
        <f>'4.1 Comptes 2023 natures'!AA101/'4.1 Comptes 2023 natures'!AA3</f>
        <v>26.845637583892618</v>
      </c>
      <c r="AB101" s="13">
        <f>'4.1 Comptes 2023 natures'!AB101/'4.1 Comptes 2023 natures'!AB3</f>
        <v>0</v>
      </c>
      <c r="AC101" s="13">
        <f>'4.1 Comptes 2023 natures'!AC101/'4.1 Comptes 2023 natures'!AC3</f>
        <v>4.0015633802816906</v>
      </c>
      <c r="AD101" s="13">
        <f>'4.1 Comptes 2023 natures'!AD101/'4.1 Comptes 2023 natures'!AD3</f>
        <v>0</v>
      </c>
      <c r="AE101" s="13">
        <f>'4.1 Comptes 2023 natures'!AE101/'4.1 Comptes 2023 natures'!AE3</f>
        <v>0</v>
      </c>
      <c r="AF101" s="13">
        <f>'4.1 Comptes 2023 natures'!AF101/'4.1 Comptes 2023 natures'!AF3</f>
        <v>0</v>
      </c>
      <c r="AG101" s="13">
        <f>'4.1 Comptes 2023 natures'!AG101/'4.1 Comptes 2023 natures'!AG3</f>
        <v>19.95136292834891</v>
      </c>
      <c r="AH101" s="13">
        <f>'4.1 Comptes 2023 natures'!AH101/'4.1 Comptes 2023 natures'!AH3</f>
        <v>0</v>
      </c>
      <c r="AI101" s="13">
        <f>'4.1 Comptes 2023 natures'!AI101/'4.1 Comptes 2023 natures'!AI3</f>
        <v>0</v>
      </c>
      <c r="AJ101" s="13">
        <f>'4.1 Comptes 2023 natures'!AJ101/'4.1 Comptes 2023 natures'!AJ3</f>
        <v>0</v>
      </c>
      <c r="AK101" s="13">
        <f>'4.1 Comptes 2023 natures'!AK101/'4.1 Comptes 2023 natures'!AK3</f>
        <v>23.787125220458552</v>
      </c>
      <c r="AL101" s="13">
        <f>'4.1 Comptes 2023 natures'!AL101/'4.1 Comptes 2023 natures'!AL3</f>
        <v>0</v>
      </c>
      <c r="AM101" s="13">
        <f>'4.1 Comptes 2023 natures'!AM101/'4.1 Comptes 2023 natures'!AM3</f>
        <v>0</v>
      </c>
      <c r="AN101" s="13">
        <f>'4.1 Comptes 2023 natures'!AN101/'4.1 Comptes 2023 natures'!AN3</f>
        <v>0</v>
      </c>
      <c r="AO101" s="13">
        <f>'4.1 Comptes 2023 natures'!AO101/'4.1 Comptes 2023 natures'!AO3</f>
        <v>0</v>
      </c>
      <c r="AP101" s="13">
        <f>'4.1 Comptes 2023 natures'!AP101/'4.1 Comptes 2023 natures'!AP3</f>
        <v>0</v>
      </c>
      <c r="AQ101" s="13">
        <f>'4.1 Comptes 2023 natures'!AQ101/'4.1 Comptes 2023 natures'!AQ3</f>
        <v>8.5780525502318392E-2</v>
      </c>
      <c r="AR101" s="13">
        <f>'4.1 Comptes 2023 natures'!AR101/'4.1 Comptes 2023 natures'!AR3</f>
        <v>0</v>
      </c>
      <c r="AS101" s="13">
        <f>'4.1 Comptes 2023 natures'!AS101/'4.1 Comptes 2023 natures'!AS3</f>
        <v>0</v>
      </c>
      <c r="AT101" s="13">
        <f>'4.1 Comptes 2023 natures'!AT101/'4.1 Comptes 2023 natures'!AT3</f>
        <v>0</v>
      </c>
      <c r="AU101" s="13">
        <f>'4.1 Comptes 2023 natures'!AU101/'4.1 Comptes 2023 natures'!AU3</f>
        <v>0</v>
      </c>
      <c r="AV101" s="13">
        <f>'4.1 Comptes 2023 natures'!AV101/'4.1 Comptes 2023 natures'!AV3</f>
        <v>0</v>
      </c>
      <c r="AW101" s="13">
        <f>'4.1 Comptes 2023 natures'!AW101/'4.1 Comptes 2023 natures'!AW3</f>
        <v>0</v>
      </c>
      <c r="AX101" s="13">
        <f>'4.1 Comptes 2023 natures'!AX101/'4.1 Comptes 2023 natures'!AX3</f>
        <v>0</v>
      </c>
      <c r="AY101" s="13">
        <f>'4.1 Comptes 2023 natures'!AY101/'4.1 Comptes 2023 natures'!AY3</f>
        <v>0</v>
      </c>
      <c r="AZ101" s="13">
        <f>'4.1 Comptes 2023 natures'!AZ101/'4.1 Comptes 2023 natures'!AZ3</f>
        <v>0</v>
      </c>
      <c r="BA101" s="13">
        <f>'4.1 Comptes 2023 natures'!BA101/'4.1 Comptes 2023 natures'!BA3</f>
        <v>5.1948912015137179</v>
      </c>
      <c r="BB101" s="13">
        <f>'4.1 Comptes 2023 natures'!BB101/'4.1 Comptes 2023 natures'!BB3</f>
        <v>2.4571898197242841</v>
      </c>
      <c r="BC101" s="13">
        <f>'4.1 Comptes 2023 natures'!BC101/'4.1 Comptes 2023 natures'!BC3</f>
        <v>0</v>
      </c>
      <c r="BD101" s="13">
        <f>'4.1 Comptes 2023 natures'!BD101/'4.1 Comptes 2023 natures'!BD3</f>
        <v>30.105157616569191</v>
      </c>
      <c r="BE101" s="13">
        <f>'4.1 Comptes 2023 natures'!BE101/'4.1 Comptes 2023 natures'!BE3</f>
        <v>53.886953353504786</v>
      </c>
      <c r="BF101" s="13">
        <f>'4.1 Comptes 2023 natures'!BF101/'4.1 Comptes 2023 natures'!BF3</f>
        <v>5.5385253062387241</v>
      </c>
      <c r="BG101" s="13">
        <f>'4.1 Comptes 2023 natures'!BG101/'4.1 Comptes 2023 natures'!BG3</f>
        <v>2.0033875271995729</v>
      </c>
    </row>
    <row r="102" spans="2:59" x14ac:dyDescent="0.2">
      <c r="C102" s="8">
        <v>431</v>
      </c>
      <c r="D102" s="8" t="s">
        <v>155</v>
      </c>
      <c r="E102" s="13">
        <f>'4.1 Comptes 2023 natures'!E102/'4.1 Comptes 2023 natures'!E3</f>
        <v>0</v>
      </c>
      <c r="F102" s="13">
        <f>'4.1 Comptes 2023 natures'!F102/'4.1 Comptes 2023 natures'!F3</f>
        <v>0</v>
      </c>
      <c r="G102" s="13">
        <f>'4.1 Comptes 2023 natures'!G102/'4.1 Comptes 2023 natures'!G3</f>
        <v>0</v>
      </c>
      <c r="H102" s="13">
        <f>'4.1 Comptes 2023 natures'!H102/'4.1 Comptes 2023 natures'!H3</f>
        <v>0</v>
      </c>
      <c r="I102" s="13">
        <f>'4.1 Comptes 2023 natures'!I102/'4.1 Comptes 2023 natures'!I3</f>
        <v>0</v>
      </c>
      <c r="J102" s="13">
        <f>'4.1 Comptes 2023 natures'!J102/'4.1 Comptes 2023 natures'!J3</f>
        <v>0</v>
      </c>
      <c r="K102" s="13">
        <f>'4.1 Comptes 2023 natures'!K102/'4.1 Comptes 2023 natures'!K3</f>
        <v>0</v>
      </c>
      <c r="L102" s="13">
        <f>'4.1 Comptes 2023 natures'!L102/'4.1 Comptes 2023 natures'!L3</f>
        <v>0</v>
      </c>
      <c r="M102" s="13">
        <f>'4.1 Comptes 2023 natures'!M102/'4.1 Comptes 2023 natures'!M3</f>
        <v>0</v>
      </c>
      <c r="N102" s="13">
        <f>'4.1 Comptes 2023 natures'!N102/'4.1 Comptes 2023 natures'!N3</f>
        <v>0</v>
      </c>
      <c r="O102" s="13">
        <f>'4.1 Comptes 2023 natures'!O102/'4.1 Comptes 2023 natures'!O3</f>
        <v>6.8530969845150773</v>
      </c>
      <c r="P102" s="13">
        <f>'4.1 Comptes 2023 natures'!P102/'4.1 Comptes 2023 natures'!P3</f>
        <v>0</v>
      </c>
      <c r="Q102" s="13">
        <f>'4.1 Comptes 2023 natures'!Q102/'4.1 Comptes 2023 natures'!Q3</f>
        <v>0</v>
      </c>
      <c r="R102" s="13">
        <f>'4.1 Comptes 2023 natures'!R102/'4.1 Comptes 2023 natures'!R3</f>
        <v>0</v>
      </c>
      <c r="S102" s="13">
        <f>'4.1 Comptes 2023 natures'!S102/'4.1 Comptes 2023 natures'!S3</f>
        <v>0</v>
      </c>
      <c r="T102" s="13">
        <f>'4.1 Comptes 2023 natures'!T102/'4.1 Comptes 2023 natures'!T3</f>
        <v>0</v>
      </c>
      <c r="U102" s="13">
        <f>'4.1 Comptes 2023 natures'!U102/'4.1 Comptes 2023 natures'!U3</f>
        <v>0</v>
      </c>
      <c r="V102" s="13">
        <f>'4.1 Comptes 2023 natures'!V102/'4.1 Comptes 2023 natures'!V3</f>
        <v>0</v>
      </c>
      <c r="W102" s="13">
        <f>'4.1 Comptes 2023 natures'!W102/'4.1 Comptes 2023 natures'!W3</f>
        <v>0</v>
      </c>
      <c r="X102" s="13">
        <f>'4.1 Comptes 2023 natures'!X102/'4.1 Comptes 2023 natures'!X3</f>
        <v>0</v>
      </c>
      <c r="Y102" s="13">
        <f>'4.1 Comptes 2023 natures'!Y102/'4.1 Comptes 2023 natures'!Y3</f>
        <v>0</v>
      </c>
      <c r="Z102" s="13">
        <f>'4.1 Comptes 2023 natures'!Z102/'4.1 Comptes 2023 natures'!Z3</f>
        <v>0</v>
      </c>
      <c r="AA102" s="13">
        <f>'4.1 Comptes 2023 natures'!AA102/'4.1 Comptes 2023 natures'!AA3</f>
        <v>27.264093959731543</v>
      </c>
      <c r="AB102" s="13">
        <f>'4.1 Comptes 2023 natures'!AB102/'4.1 Comptes 2023 natures'!AB3</f>
        <v>0</v>
      </c>
      <c r="AC102" s="13">
        <f>'4.1 Comptes 2023 natures'!AC102/'4.1 Comptes 2023 natures'!AC3</f>
        <v>0</v>
      </c>
      <c r="AD102" s="13">
        <f>'4.1 Comptes 2023 natures'!AD102/'4.1 Comptes 2023 natures'!AD3</f>
        <v>0</v>
      </c>
      <c r="AE102" s="13">
        <f>'4.1 Comptes 2023 natures'!AE102/'4.1 Comptes 2023 natures'!AE3</f>
        <v>0</v>
      </c>
      <c r="AF102" s="13">
        <f>'4.1 Comptes 2023 natures'!AF102/'4.1 Comptes 2023 natures'!AF3</f>
        <v>0</v>
      </c>
      <c r="AG102" s="13">
        <f>'4.1 Comptes 2023 natures'!AG102/'4.1 Comptes 2023 natures'!AG3</f>
        <v>0</v>
      </c>
      <c r="AH102" s="13">
        <f>'4.1 Comptes 2023 natures'!AH102/'4.1 Comptes 2023 natures'!AH3</f>
        <v>0</v>
      </c>
      <c r="AI102" s="13">
        <f>'4.1 Comptes 2023 natures'!AI102/'4.1 Comptes 2023 natures'!AI3</f>
        <v>0</v>
      </c>
      <c r="AJ102" s="13">
        <f>'4.1 Comptes 2023 natures'!AJ102/'4.1 Comptes 2023 natures'!AJ3</f>
        <v>0</v>
      </c>
      <c r="AK102" s="13">
        <f>'4.1 Comptes 2023 natures'!AK102/'4.1 Comptes 2023 natures'!AK3</f>
        <v>0</v>
      </c>
      <c r="AL102" s="13">
        <f>'4.1 Comptes 2023 natures'!AL102/'4.1 Comptes 2023 natures'!AL3</f>
        <v>0</v>
      </c>
      <c r="AM102" s="13">
        <f>'4.1 Comptes 2023 natures'!AM102/'4.1 Comptes 2023 natures'!AM3</f>
        <v>0</v>
      </c>
      <c r="AN102" s="13">
        <f>'4.1 Comptes 2023 natures'!AN102/'4.1 Comptes 2023 natures'!AN3</f>
        <v>0</v>
      </c>
      <c r="AO102" s="13">
        <f>'4.1 Comptes 2023 natures'!AO102/'4.1 Comptes 2023 natures'!AO3</f>
        <v>0</v>
      </c>
      <c r="AP102" s="13">
        <f>'4.1 Comptes 2023 natures'!AP102/'4.1 Comptes 2023 natures'!AP3</f>
        <v>0</v>
      </c>
      <c r="AQ102" s="13">
        <f>'4.1 Comptes 2023 natures'!AQ102/'4.1 Comptes 2023 natures'!AQ3</f>
        <v>0</v>
      </c>
      <c r="AR102" s="13">
        <f>'4.1 Comptes 2023 natures'!AR102/'4.1 Comptes 2023 natures'!AR3</f>
        <v>0</v>
      </c>
      <c r="AS102" s="13">
        <f>'4.1 Comptes 2023 natures'!AS102/'4.1 Comptes 2023 natures'!AS3</f>
        <v>0</v>
      </c>
      <c r="AT102" s="13">
        <f>'4.1 Comptes 2023 natures'!AT102/'4.1 Comptes 2023 natures'!AT3</f>
        <v>0</v>
      </c>
      <c r="AU102" s="13">
        <f>'4.1 Comptes 2023 natures'!AU102/'4.1 Comptes 2023 natures'!AU3</f>
        <v>0</v>
      </c>
      <c r="AV102" s="13">
        <f>'4.1 Comptes 2023 natures'!AV102/'4.1 Comptes 2023 natures'!AV3</f>
        <v>0</v>
      </c>
      <c r="AW102" s="13">
        <f>'4.1 Comptes 2023 natures'!AW102/'4.1 Comptes 2023 natures'!AW3</f>
        <v>0</v>
      </c>
      <c r="AX102" s="13">
        <f>'4.1 Comptes 2023 natures'!AX102/'4.1 Comptes 2023 natures'!AX3</f>
        <v>0</v>
      </c>
      <c r="AY102" s="13">
        <f>'4.1 Comptes 2023 natures'!AY102/'4.1 Comptes 2023 natures'!AY3</f>
        <v>0</v>
      </c>
      <c r="AZ102" s="13">
        <f>'4.1 Comptes 2023 natures'!AZ102/'4.1 Comptes 2023 natures'!AZ3</f>
        <v>0</v>
      </c>
      <c r="BA102" s="13">
        <f>'4.1 Comptes 2023 natures'!BA102/'4.1 Comptes 2023 natures'!BA3</f>
        <v>0</v>
      </c>
      <c r="BB102" s="13">
        <f>'4.1 Comptes 2023 natures'!BB102/'4.1 Comptes 2023 natures'!BB3</f>
        <v>0</v>
      </c>
      <c r="BC102" s="13">
        <f>'4.1 Comptes 2023 natures'!BC102/'4.1 Comptes 2023 natures'!BC3</f>
        <v>0</v>
      </c>
      <c r="BD102" s="13">
        <f>'4.1 Comptes 2023 natures'!BD102/'4.1 Comptes 2023 natures'!BD3</f>
        <v>0.7312717980361646</v>
      </c>
      <c r="BE102" s="13">
        <f>'4.1 Comptes 2023 natures'!BE102/'4.1 Comptes 2023 natures'!BE3</f>
        <v>1.2721255673222391</v>
      </c>
      <c r="BF102" s="13">
        <f>'4.1 Comptes 2023 natures'!BF102/'4.1 Comptes 2023 natures'!BF3</f>
        <v>0.3857515905422087</v>
      </c>
      <c r="BG102" s="13">
        <f>'4.1 Comptes 2023 natures'!BG102/'4.1 Comptes 2023 natures'!BG3</f>
        <v>0</v>
      </c>
    </row>
    <row r="103" spans="2:59" x14ac:dyDescent="0.2">
      <c r="C103" s="8">
        <v>432</v>
      </c>
      <c r="D103" s="8" t="s">
        <v>156</v>
      </c>
      <c r="E103" s="13">
        <f>'4.1 Comptes 2023 natures'!E103/'4.1 Comptes 2023 natures'!E3</f>
        <v>0</v>
      </c>
      <c r="F103" s="13">
        <f>'4.1 Comptes 2023 natures'!F103/'4.1 Comptes 2023 natures'!F3</f>
        <v>0</v>
      </c>
      <c r="G103" s="13">
        <f>'4.1 Comptes 2023 natures'!G103/'4.1 Comptes 2023 natures'!G3</f>
        <v>0</v>
      </c>
      <c r="H103" s="13">
        <f>'4.1 Comptes 2023 natures'!H103/'4.1 Comptes 2023 natures'!H3</f>
        <v>0</v>
      </c>
      <c r="I103" s="13">
        <f>'4.1 Comptes 2023 natures'!I103/'4.1 Comptes 2023 natures'!I3</f>
        <v>0</v>
      </c>
      <c r="J103" s="13">
        <f>'4.1 Comptes 2023 natures'!J103/'4.1 Comptes 2023 natures'!J3</f>
        <v>0</v>
      </c>
      <c r="K103" s="13">
        <f>'4.1 Comptes 2023 natures'!K103/'4.1 Comptes 2023 natures'!K3</f>
        <v>0</v>
      </c>
      <c r="L103" s="13">
        <f>'4.1 Comptes 2023 natures'!L103/'4.1 Comptes 2023 natures'!L3</f>
        <v>0</v>
      </c>
      <c r="M103" s="13">
        <f>'4.1 Comptes 2023 natures'!M103/'4.1 Comptes 2023 natures'!M3</f>
        <v>0</v>
      </c>
      <c r="N103" s="13">
        <f>'4.1 Comptes 2023 natures'!N103/'4.1 Comptes 2023 natures'!N3</f>
        <v>0</v>
      </c>
      <c r="O103" s="13">
        <f>'4.1 Comptes 2023 natures'!O103/'4.1 Comptes 2023 natures'!O3</f>
        <v>0</v>
      </c>
      <c r="P103" s="13">
        <f>'4.1 Comptes 2023 natures'!P103/'4.1 Comptes 2023 natures'!P3</f>
        <v>0</v>
      </c>
      <c r="Q103" s="13">
        <f>'4.1 Comptes 2023 natures'!Q103/'4.1 Comptes 2023 natures'!Q3</f>
        <v>0</v>
      </c>
      <c r="R103" s="13">
        <f>'4.1 Comptes 2023 natures'!R103/'4.1 Comptes 2023 natures'!R3</f>
        <v>0</v>
      </c>
      <c r="S103" s="13">
        <f>'4.1 Comptes 2023 natures'!S103/'4.1 Comptes 2023 natures'!S3</f>
        <v>0</v>
      </c>
      <c r="T103" s="13">
        <f>'4.1 Comptes 2023 natures'!T103/'4.1 Comptes 2023 natures'!T3</f>
        <v>0</v>
      </c>
      <c r="U103" s="13">
        <f>'4.1 Comptes 2023 natures'!U103/'4.1 Comptes 2023 natures'!U3</f>
        <v>0</v>
      </c>
      <c r="V103" s="13">
        <f>'4.1 Comptes 2023 natures'!V103/'4.1 Comptes 2023 natures'!V3</f>
        <v>1.3382830626450115</v>
      </c>
      <c r="W103" s="13">
        <f>'4.1 Comptes 2023 natures'!W103/'4.1 Comptes 2023 natures'!W3</f>
        <v>0</v>
      </c>
      <c r="X103" s="13">
        <f>'4.1 Comptes 2023 natures'!X103/'4.1 Comptes 2023 natures'!X3</f>
        <v>0</v>
      </c>
      <c r="Y103" s="13">
        <f>'4.1 Comptes 2023 natures'!Y103/'4.1 Comptes 2023 natures'!Y3</f>
        <v>5.3310702875399363</v>
      </c>
      <c r="Z103" s="13">
        <f>'4.1 Comptes 2023 natures'!Z103/'4.1 Comptes 2023 natures'!Z3</f>
        <v>0</v>
      </c>
      <c r="AA103" s="13">
        <f>'4.1 Comptes 2023 natures'!AA103/'4.1 Comptes 2023 natures'!AA3</f>
        <v>21.414093959731542</v>
      </c>
      <c r="AB103" s="13">
        <f>'4.1 Comptes 2023 natures'!AB103/'4.1 Comptes 2023 natures'!AB3</f>
        <v>0</v>
      </c>
      <c r="AC103" s="13">
        <f>'4.1 Comptes 2023 natures'!AC103/'4.1 Comptes 2023 natures'!AC3</f>
        <v>0</v>
      </c>
      <c r="AD103" s="13">
        <f>'4.1 Comptes 2023 natures'!AD103/'4.1 Comptes 2023 natures'!AD3</f>
        <v>0</v>
      </c>
      <c r="AE103" s="13">
        <f>'4.1 Comptes 2023 natures'!AE103/'4.1 Comptes 2023 natures'!AE3</f>
        <v>0</v>
      </c>
      <c r="AF103" s="13">
        <f>'4.1 Comptes 2023 natures'!AF103/'4.1 Comptes 2023 natures'!AF3</f>
        <v>0</v>
      </c>
      <c r="AG103" s="13">
        <f>'4.1 Comptes 2023 natures'!AG103/'4.1 Comptes 2023 natures'!AG3</f>
        <v>0</v>
      </c>
      <c r="AH103" s="13">
        <f>'4.1 Comptes 2023 natures'!AH103/'4.1 Comptes 2023 natures'!AH3</f>
        <v>0</v>
      </c>
      <c r="AI103" s="13">
        <f>'4.1 Comptes 2023 natures'!AI103/'4.1 Comptes 2023 natures'!AI3</f>
        <v>-21.771599999999999</v>
      </c>
      <c r="AJ103" s="13">
        <f>'4.1 Comptes 2023 natures'!AJ103/'4.1 Comptes 2023 natures'!AJ3</f>
        <v>0</v>
      </c>
      <c r="AK103" s="13">
        <f>'4.1 Comptes 2023 natures'!AK103/'4.1 Comptes 2023 natures'!AK3</f>
        <v>0</v>
      </c>
      <c r="AL103" s="13">
        <f>'4.1 Comptes 2023 natures'!AL103/'4.1 Comptes 2023 natures'!AL3</f>
        <v>0</v>
      </c>
      <c r="AM103" s="13">
        <f>'4.1 Comptes 2023 natures'!AM103/'4.1 Comptes 2023 natures'!AM3</f>
        <v>0</v>
      </c>
      <c r="AN103" s="13">
        <f>'4.1 Comptes 2023 natures'!AN103/'4.1 Comptes 2023 natures'!AN3</f>
        <v>0</v>
      </c>
      <c r="AO103" s="13">
        <f>'4.1 Comptes 2023 natures'!AO103/'4.1 Comptes 2023 natures'!AO3</f>
        <v>0</v>
      </c>
      <c r="AP103" s="13">
        <f>'4.1 Comptes 2023 natures'!AP103/'4.1 Comptes 2023 natures'!AP3</f>
        <v>0</v>
      </c>
      <c r="AQ103" s="13">
        <f>'4.1 Comptes 2023 natures'!AQ103/'4.1 Comptes 2023 natures'!AQ3</f>
        <v>0</v>
      </c>
      <c r="AR103" s="13">
        <f>'4.1 Comptes 2023 natures'!AR103/'4.1 Comptes 2023 natures'!AR3</f>
        <v>0</v>
      </c>
      <c r="AS103" s="13">
        <f>'4.1 Comptes 2023 natures'!AS103/'4.1 Comptes 2023 natures'!AS3</f>
        <v>0</v>
      </c>
      <c r="AT103" s="13">
        <f>'4.1 Comptes 2023 natures'!AT103/'4.1 Comptes 2023 natures'!AT3</f>
        <v>0</v>
      </c>
      <c r="AU103" s="13">
        <f>'4.1 Comptes 2023 natures'!AU103/'4.1 Comptes 2023 natures'!AU3</f>
        <v>0</v>
      </c>
      <c r="AV103" s="13">
        <f>'4.1 Comptes 2023 natures'!AV103/'4.1 Comptes 2023 natures'!AV3</f>
        <v>0</v>
      </c>
      <c r="AW103" s="13">
        <f>'4.1 Comptes 2023 natures'!AW103/'4.1 Comptes 2023 natures'!AW3</f>
        <v>0</v>
      </c>
      <c r="AX103" s="13">
        <f>'4.1 Comptes 2023 natures'!AX103/'4.1 Comptes 2023 natures'!AX3</f>
        <v>0</v>
      </c>
      <c r="AY103" s="13">
        <f>'4.1 Comptes 2023 natures'!AY103/'4.1 Comptes 2023 natures'!AY3</f>
        <v>0</v>
      </c>
      <c r="AZ103" s="13">
        <f>'4.1 Comptes 2023 natures'!AZ103/'4.1 Comptes 2023 natures'!AZ3</f>
        <v>0</v>
      </c>
      <c r="BA103" s="13">
        <f>'4.1 Comptes 2023 natures'!BA103/'4.1 Comptes 2023 natures'!BA3</f>
        <v>0</v>
      </c>
      <c r="BB103" s="13">
        <f>'4.1 Comptes 2023 natures'!BB103/'4.1 Comptes 2023 natures'!BB3</f>
        <v>0</v>
      </c>
      <c r="BC103" s="13">
        <f>'4.1 Comptes 2023 natures'!BC103/'4.1 Comptes 2023 natures'!BC3</f>
        <v>0</v>
      </c>
      <c r="BD103" s="13">
        <f>'4.1 Comptes 2023 natures'!BD103/'4.1 Comptes 2023 natures'!BD3</f>
        <v>0.1035648172989215</v>
      </c>
      <c r="BE103" s="13">
        <f>'4.1 Comptes 2023 natures'!BE103/'4.1 Comptes 2023 natures'!BE3</f>
        <v>1.4543620776601108E-2</v>
      </c>
      <c r="BF103" s="13">
        <f>'4.1 Comptes 2023 natures'!BF103/'4.1 Comptes 2023 natures'!BF3</f>
        <v>0.67835438229987666</v>
      </c>
      <c r="BG103" s="13">
        <f>'4.1 Comptes 2023 natures'!BG103/'4.1 Comptes 2023 natures'!BG3</f>
        <v>0</v>
      </c>
    </row>
    <row r="104" spans="2:59" x14ac:dyDescent="0.2">
      <c r="C104" s="8">
        <v>439</v>
      </c>
      <c r="D104" s="8" t="s">
        <v>157</v>
      </c>
      <c r="E104" s="13">
        <f>'4.1 Comptes 2023 natures'!E104/'4.1 Comptes 2023 natures'!E3</f>
        <v>0</v>
      </c>
      <c r="F104" s="13">
        <f>'4.1 Comptes 2023 natures'!F104/'4.1 Comptes 2023 natures'!F3</f>
        <v>0</v>
      </c>
      <c r="G104" s="13">
        <f>'4.1 Comptes 2023 natures'!G104/'4.1 Comptes 2023 natures'!G3</f>
        <v>0</v>
      </c>
      <c r="H104" s="13">
        <f>'4.1 Comptes 2023 natures'!H104/'4.1 Comptes 2023 natures'!H3</f>
        <v>0</v>
      </c>
      <c r="I104" s="13">
        <f>'4.1 Comptes 2023 natures'!I104/'4.1 Comptes 2023 natures'!I3</f>
        <v>0</v>
      </c>
      <c r="J104" s="13">
        <f>'4.1 Comptes 2023 natures'!J104/'4.1 Comptes 2023 natures'!J3</f>
        <v>0</v>
      </c>
      <c r="K104" s="13">
        <f>'4.1 Comptes 2023 natures'!K104/'4.1 Comptes 2023 natures'!K3</f>
        <v>0</v>
      </c>
      <c r="L104" s="13">
        <f>'4.1 Comptes 2023 natures'!L104/'4.1 Comptes 2023 natures'!L3</f>
        <v>0</v>
      </c>
      <c r="M104" s="13">
        <f>'4.1 Comptes 2023 natures'!M104/'4.1 Comptes 2023 natures'!M3</f>
        <v>0</v>
      </c>
      <c r="N104" s="13">
        <f>'4.1 Comptes 2023 natures'!N104/'4.1 Comptes 2023 natures'!N3</f>
        <v>84.112393162393161</v>
      </c>
      <c r="O104" s="13">
        <f>'4.1 Comptes 2023 natures'!O104/'4.1 Comptes 2023 natures'!O3</f>
        <v>0</v>
      </c>
      <c r="P104" s="13">
        <f>'4.1 Comptes 2023 natures'!P104/'4.1 Comptes 2023 natures'!P3</f>
        <v>0</v>
      </c>
      <c r="Q104" s="13">
        <f>'4.1 Comptes 2023 natures'!Q104/'4.1 Comptes 2023 natures'!Q3</f>
        <v>0</v>
      </c>
      <c r="R104" s="13">
        <f>'4.1 Comptes 2023 natures'!R104/'4.1 Comptes 2023 natures'!R3</f>
        <v>0</v>
      </c>
      <c r="S104" s="13">
        <f>'4.1 Comptes 2023 natures'!S104/'4.1 Comptes 2023 natures'!S3</f>
        <v>0</v>
      </c>
      <c r="T104" s="13">
        <f>'4.1 Comptes 2023 natures'!T104/'4.1 Comptes 2023 natures'!T3</f>
        <v>14.84931787175989</v>
      </c>
      <c r="U104" s="13">
        <f>'4.1 Comptes 2023 natures'!U104/'4.1 Comptes 2023 natures'!U3</f>
        <v>0.5494505494505495</v>
      </c>
      <c r="V104" s="13">
        <f>'4.1 Comptes 2023 natures'!V104/'4.1 Comptes 2023 natures'!V3</f>
        <v>1.0208816705336428</v>
      </c>
      <c r="W104" s="13">
        <f>'4.1 Comptes 2023 natures'!W104/'4.1 Comptes 2023 natures'!W3</f>
        <v>0</v>
      </c>
      <c r="X104" s="13">
        <f>'4.1 Comptes 2023 natures'!X104/'4.1 Comptes 2023 natures'!X3</f>
        <v>0</v>
      </c>
      <c r="Y104" s="13">
        <f>'4.1 Comptes 2023 natures'!Y104/'4.1 Comptes 2023 natures'!Y3</f>
        <v>0</v>
      </c>
      <c r="Z104" s="13">
        <f>'4.1 Comptes 2023 natures'!Z104/'4.1 Comptes 2023 natures'!Z3</f>
        <v>0</v>
      </c>
      <c r="AA104" s="13">
        <f>'4.1 Comptes 2023 natures'!AA104/'4.1 Comptes 2023 natures'!AA3</f>
        <v>2.4845637583892617</v>
      </c>
      <c r="AB104" s="13">
        <f>'4.1 Comptes 2023 natures'!AB104/'4.1 Comptes 2023 natures'!AB3</f>
        <v>0</v>
      </c>
      <c r="AC104" s="13">
        <f>'4.1 Comptes 2023 natures'!AC104/'4.1 Comptes 2023 natures'!AC3</f>
        <v>0</v>
      </c>
      <c r="AD104" s="13">
        <f>'4.1 Comptes 2023 natures'!AD104/'4.1 Comptes 2023 natures'!AD3</f>
        <v>2.5181095406360425</v>
      </c>
      <c r="AE104" s="13">
        <f>'4.1 Comptes 2023 natures'!AE104/'4.1 Comptes 2023 natures'!AE3</f>
        <v>0</v>
      </c>
      <c r="AF104" s="13">
        <f>'4.1 Comptes 2023 natures'!AF104/'4.1 Comptes 2023 natures'!AF3</f>
        <v>5.3551354113438938</v>
      </c>
      <c r="AG104" s="13">
        <f>'4.1 Comptes 2023 natures'!AG104/'4.1 Comptes 2023 natures'!AG3</f>
        <v>0</v>
      </c>
      <c r="AH104" s="13">
        <f>'4.1 Comptes 2023 natures'!AH104/'4.1 Comptes 2023 natures'!AH3</f>
        <v>0</v>
      </c>
      <c r="AI104" s="13">
        <f>'4.1 Comptes 2023 natures'!AI104/'4.1 Comptes 2023 natures'!AI3</f>
        <v>1.23</v>
      </c>
      <c r="AJ104" s="13">
        <f>'4.1 Comptes 2023 natures'!AJ104/'4.1 Comptes 2023 natures'!AJ3</f>
        <v>0</v>
      </c>
      <c r="AK104" s="13">
        <f>'4.1 Comptes 2023 natures'!AK104/'4.1 Comptes 2023 natures'!AK3</f>
        <v>0</v>
      </c>
      <c r="AL104" s="13">
        <f>'4.1 Comptes 2023 natures'!AL104/'4.1 Comptes 2023 natures'!AL3</f>
        <v>0</v>
      </c>
      <c r="AM104" s="13">
        <f>'4.1 Comptes 2023 natures'!AM104/'4.1 Comptes 2023 natures'!AM3</f>
        <v>0</v>
      </c>
      <c r="AN104" s="13">
        <f>'4.1 Comptes 2023 natures'!AN104/'4.1 Comptes 2023 natures'!AN3</f>
        <v>0</v>
      </c>
      <c r="AO104" s="13">
        <f>'4.1 Comptes 2023 natures'!AO104/'4.1 Comptes 2023 natures'!AO3</f>
        <v>0</v>
      </c>
      <c r="AP104" s="13">
        <f>'4.1 Comptes 2023 natures'!AP104/'4.1 Comptes 2023 natures'!AP3</f>
        <v>0</v>
      </c>
      <c r="AQ104" s="13">
        <f>'4.1 Comptes 2023 natures'!AQ104/'4.1 Comptes 2023 natures'!AQ3</f>
        <v>0</v>
      </c>
      <c r="AR104" s="13">
        <f>'4.1 Comptes 2023 natures'!AR104/'4.1 Comptes 2023 natures'!AR3</f>
        <v>0</v>
      </c>
      <c r="AS104" s="13">
        <f>'4.1 Comptes 2023 natures'!AS104/'4.1 Comptes 2023 natures'!AS3</f>
        <v>0</v>
      </c>
      <c r="AT104" s="13">
        <f>'4.1 Comptes 2023 natures'!AT104/'4.1 Comptes 2023 natures'!AT3</f>
        <v>0</v>
      </c>
      <c r="AU104" s="13">
        <f>'4.1 Comptes 2023 natures'!AU104/'4.1 Comptes 2023 natures'!AU3</f>
        <v>0</v>
      </c>
      <c r="AV104" s="13">
        <f>'4.1 Comptes 2023 natures'!AV104/'4.1 Comptes 2023 natures'!AV3</f>
        <v>2.364341085271318</v>
      </c>
      <c r="AW104" s="13">
        <f>'4.1 Comptes 2023 natures'!AW104/'4.1 Comptes 2023 natures'!AW3</f>
        <v>0</v>
      </c>
      <c r="AX104" s="13">
        <f>'4.1 Comptes 2023 natures'!AX104/'4.1 Comptes 2023 natures'!AX3</f>
        <v>0</v>
      </c>
      <c r="AY104" s="13">
        <f>'4.1 Comptes 2023 natures'!AY104/'4.1 Comptes 2023 natures'!AY3</f>
        <v>0</v>
      </c>
      <c r="AZ104" s="13">
        <f>'4.1 Comptes 2023 natures'!AZ104/'4.1 Comptes 2023 natures'!AZ3</f>
        <v>0</v>
      </c>
      <c r="BA104" s="13">
        <f>'4.1 Comptes 2023 natures'!BA104/'4.1 Comptes 2023 natures'!BA3</f>
        <v>0</v>
      </c>
      <c r="BB104" s="13">
        <f>'4.1 Comptes 2023 natures'!BB104/'4.1 Comptes 2023 natures'!BB3</f>
        <v>0</v>
      </c>
      <c r="BC104" s="13">
        <f>'4.1 Comptes 2023 natures'!BC104/'4.1 Comptes 2023 natures'!BC3</f>
        <v>0</v>
      </c>
      <c r="BD104" s="13">
        <f>'4.1 Comptes 2023 natures'!BD104/'4.1 Comptes 2023 natures'!BD3</f>
        <v>0.47720797338627452</v>
      </c>
      <c r="BE104" s="13">
        <f>'4.1 Comptes 2023 natures'!BE104/'4.1 Comptes 2023 natures'!BE3</f>
        <v>0.53746091780131111</v>
      </c>
      <c r="BF104" s="13">
        <f>'4.1 Comptes 2023 natures'!BF104/'4.1 Comptes 2023 natures'!BF3</f>
        <v>1.1802487892887665</v>
      </c>
      <c r="BG104" s="13">
        <f>'4.1 Comptes 2023 natures'!BG104/'4.1 Comptes 2023 natures'!BG3</f>
        <v>7.5132405468653782E-2</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70.176389177939654</v>
      </c>
      <c r="F106" s="78">
        <f t="shared" ref="F106:BG106" si="19">F107+F108+F109+F110+F111+F112+F113+F114+F115+F116</f>
        <v>129.09038314176246</v>
      </c>
      <c r="G106" s="78">
        <f t="shared" si="19"/>
        <v>722.84544534412953</v>
      </c>
      <c r="H106" s="78">
        <f t="shared" si="19"/>
        <v>305.85402247191013</v>
      </c>
      <c r="I106" s="78">
        <f t="shared" si="19"/>
        <v>171.11870739023723</v>
      </c>
      <c r="J106" s="78">
        <f t="shared" si="19"/>
        <v>94.801961130742043</v>
      </c>
      <c r="K106" s="78">
        <f t="shared" si="19"/>
        <v>112.19771292217328</v>
      </c>
      <c r="L106" s="78">
        <f t="shared" si="19"/>
        <v>467.73884056833344</v>
      </c>
      <c r="M106" s="78">
        <f t="shared" si="19"/>
        <v>59.494147230320699</v>
      </c>
      <c r="N106" s="78">
        <f t="shared" si="19"/>
        <v>194.46059829059828</v>
      </c>
      <c r="O106" s="78">
        <f t="shared" si="19"/>
        <v>130.29745585438741</v>
      </c>
      <c r="P106" s="78">
        <f t="shared" si="19"/>
        <v>142.24424299065421</v>
      </c>
      <c r="Q106" s="78">
        <f t="shared" si="19"/>
        <v>161.16062500000001</v>
      </c>
      <c r="R106" s="78">
        <f t="shared" si="19"/>
        <v>594.02052380952387</v>
      </c>
      <c r="S106" s="78">
        <f t="shared" si="19"/>
        <v>289.66169054441258</v>
      </c>
      <c r="T106" s="78">
        <f t="shared" si="19"/>
        <v>132.4205729877217</v>
      </c>
      <c r="U106" s="78">
        <f t="shared" si="19"/>
        <v>167.82424908424909</v>
      </c>
      <c r="V106" s="78">
        <f t="shared" si="19"/>
        <v>182.01689095127608</v>
      </c>
      <c r="W106" s="78">
        <f t="shared" si="19"/>
        <v>148.79161517283575</v>
      </c>
      <c r="X106" s="78">
        <f t="shared" si="19"/>
        <v>233.74167213114757</v>
      </c>
      <c r="Y106" s="78">
        <f t="shared" si="19"/>
        <v>103.01710063897764</v>
      </c>
      <c r="Z106" s="78">
        <f t="shared" si="19"/>
        <v>285.23774056029231</v>
      </c>
      <c r="AA106" s="78">
        <f t="shared" si="19"/>
        <v>268.03422818791944</v>
      </c>
      <c r="AB106" s="78">
        <f t="shared" si="19"/>
        <v>227.50592156862746</v>
      </c>
      <c r="AC106" s="78">
        <f t="shared" si="19"/>
        <v>262.35440845070423</v>
      </c>
      <c r="AD106" s="78">
        <f t="shared" si="19"/>
        <v>68.983851590106013</v>
      </c>
      <c r="AE106" s="78">
        <f t="shared" si="19"/>
        <v>1068.0905118110236</v>
      </c>
      <c r="AF106" s="78">
        <f t="shared" si="19"/>
        <v>168.31425140521208</v>
      </c>
      <c r="AG106" s="78">
        <f t="shared" si="19"/>
        <v>161.56697819314641</v>
      </c>
      <c r="AH106" s="78">
        <f t="shared" si="19"/>
        <v>177.16966527196652</v>
      </c>
      <c r="AI106" s="78">
        <f t="shared" si="19"/>
        <v>311.68543999999997</v>
      </c>
      <c r="AJ106" s="78">
        <f t="shared" si="19"/>
        <v>108.35618772941794</v>
      </c>
      <c r="AK106" s="78">
        <f t="shared" si="19"/>
        <v>1098.4125925925925</v>
      </c>
      <c r="AL106" s="78">
        <f t="shared" si="19"/>
        <v>143.0338570241064</v>
      </c>
      <c r="AM106" s="78">
        <f t="shared" si="19"/>
        <v>250.44232142857143</v>
      </c>
      <c r="AN106" s="78">
        <f t="shared" si="19"/>
        <v>264.34353543979506</v>
      </c>
      <c r="AO106" s="78">
        <f t="shared" si="19"/>
        <v>213.36888549618322</v>
      </c>
      <c r="AP106" s="78">
        <f t="shared" si="19"/>
        <v>277.81156893819332</v>
      </c>
      <c r="AQ106" s="78">
        <f t="shared" si="19"/>
        <v>498.97326893353943</v>
      </c>
      <c r="AR106" s="78">
        <f t="shared" si="19"/>
        <v>303.04606102635228</v>
      </c>
      <c r="AS106" s="78">
        <f t="shared" si="19"/>
        <v>178.78153773584907</v>
      </c>
      <c r="AT106" s="78">
        <f t="shared" si="19"/>
        <v>160.66738853503185</v>
      </c>
      <c r="AU106" s="78">
        <f t="shared" si="19"/>
        <v>74.336901752955555</v>
      </c>
      <c r="AV106" s="78">
        <f t="shared" si="19"/>
        <v>86.433591731266134</v>
      </c>
      <c r="AW106" s="78">
        <f t="shared" si="19"/>
        <v>114.02063360881542</v>
      </c>
      <c r="AX106" s="78">
        <f t="shared" si="19"/>
        <v>222.87978915662652</v>
      </c>
      <c r="AY106" s="78">
        <f t="shared" si="19"/>
        <v>117.46930176077717</v>
      </c>
      <c r="AZ106" s="78">
        <f t="shared" si="19"/>
        <v>159.33538057742783</v>
      </c>
      <c r="BA106" s="78">
        <f t="shared" si="19"/>
        <v>324.22408703878904</v>
      </c>
      <c r="BB106" s="78">
        <f t="shared" si="19"/>
        <v>324.02289350098471</v>
      </c>
      <c r="BC106" s="78">
        <f t="shared" si="19"/>
        <v>235.73202925045706</v>
      </c>
      <c r="BD106" s="78">
        <f t="shared" si="19"/>
        <v>255.57388595267474</v>
      </c>
      <c r="BE106" s="78">
        <f t="shared" si="19"/>
        <v>252.74842460917802</v>
      </c>
      <c r="BF106" s="78">
        <f t="shared" si="19"/>
        <v>229.61730130092107</v>
      </c>
      <c r="BG106" s="78">
        <f t="shared" si="19"/>
        <v>271.39712320893375</v>
      </c>
    </row>
    <row r="107" spans="2:59" x14ac:dyDescent="0.2">
      <c r="C107" s="8">
        <v>440</v>
      </c>
      <c r="D107" s="8" t="s">
        <v>159</v>
      </c>
      <c r="E107" s="13">
        <f>'4.1 Comptes 2023 natures'!E107/'4.1 Comptes 2023 natures'!E3</f>
        <v>43.277845993756507</v>
      </c>
      <c r="F107" s="13">
        <f>'4.1 Comptes 2023 natures'!F107/'4.1 Comptes 2023 natures'!F3</f>
        <v>22.596130268199236</v>
      </c>
      <c r="G107" s="13">
        <f>'4.1 Comptes 2023 natures'!G107/'4.1 Comptes 2023 natures'!G3</f>
        <v>32.54593117408907</v>
      </c>
      <c r="H107" s="13">
        <f>'4.1 Comptes 2023 natures'!H107/'4.1 Comptes 2023 natures'!H3</f>
        <v>16.20458426966292</v>
      </c>
      <c r="I107" s="13">
        <f>'4.1 Comptes 2023 natures'!I107/'4.1 Comptes 2023 natures'!I3</f>
        <v>32.233866921188984</v>
      </c>
      <c r="J107" s="13">
        <f>'4.1 Comptes 2023 natures'!J107/'4.1 Comptes 2023 natures'!J3</f>
        <v>27.847514723203769</v>
      </c>
      <c r="K107" s="13">
        <f>'4.1 Comptes 2023 natures'!K107/'4.1 Comptes 2023 natures'!K3</f>
        <v>22.624805433186491</v>
      </c>
      <c r="L107" s="13">
        <f>'4.1 Comptes 2023 natures'!L107/'4.1 Comptes 2023 natures'!L3</f>
        <v>83.263105424287616</v>
      </c>
      <c r="M107" s="13">
        <f>'4.1 Comptes 2023 natures'!M107/'4.1 Comptes 2023 natures'!M3</f>
        <v>30.564628279883379</v>
      </c>
      <c r="N107" s="13">
        <f>'4.1 Comptes 2023 natures'!N107/'4.1 Comptes 2023 natures'!N3</f>
        <v>9.8452136752136763</v>
      </c>
      <c r="O107" s="13">
        <f>'4.1 Comptes 2023 natures'!O107/'4.1 Comptes 2023 natures'!O3</f>
        <v>25.530798696006517</v>
      </c>
      <c r="P107" s="13">
        <f>'4.1 Comptes 2023 natures'!P107/'4.1 Comptes 2023 natures'!P3</f>
        <v>15.234897196261683</v>
      </c>
      <c r="Q107" s="13">
        <f>'4.1 Comptes 2023 natures'!Q107/'4.1 Comptes 2023 natures'!Q3</f>
        <v>19.892767857142854</v>
      </c>
      <c r="R107" s="13">
        <f>'4.1 Comptes 2023 natures'!R107/'4.1 Comptes 2023 natures'!R3</f>
        <v>33.146476190476193</v>
      </c>
      <c r="S107" s="13">
        <f>'4.1 Comptes 2023 natures'!S107/'4.1 Comptes 2023 natures'!S3</f>
        <v>26.256045845272208</v>
      </c>
      <c r="T107" s="13">
        <f>'4.1 Comptes 2023 natures'!T107/'4.1 Comptes 2023 natures'!T3</f>
        <v>41.996589358799454</v>
      </c>
      <c r="U107" s="13">
        <f>'4.1 Comptes 2023 natures'!U107/'4.1 Comptes 2023 natures'!U3</f>
        <v>22.512893772893776</v>
      </c>
      <c r="V107" s="13">
        <f>'4.1 Comptes 2023 natures'!V107/'4.1 Comptes 2023 natures'!V3</f>
        <v>40.097633410672856</v>
      </c>
      <c r="W107" s="13">
        <f>'4.1 Comptes 2023 natures'!W107/'4.1 Comptes 2023 natures'!W3</f>
        <v>27.039831752829613</v>
      </c>
      <c r="X107" s="13">
        <f>'4.1 Comptes 2023 natures'!X107/'4.1 Comptes 2023 natures'!X3</f>
        <v>32.682655737704913</v>
      </c>
      <c r="Y107" s="13">
        <f>'4.1 Comptes 2023 natures'!Y107/'4.1 Comptes 2023 natures'!Y3</f>
        <v>49.511509584664537</v>
      </c>
      <c r="Z107" s="13">
        <f>'4.1 Comptes 2023 natures'!Z107/'4.1 Comptes 2023 natures'!Z3</f>
        <v>99.425590742996349</v>
      </c>
      <c r="AA107" s="13">
        <f>'4.1 Comptes 2023 natures'!AA107/'4.1 Comptes 2023 natures'!AA3</f>
        <v>33.148322147651008</v>
      </c>
      <c r="AB107" s="13">
        <f>'4.1 Comptes 2023 natures'!AB107/'4.1 Comptes 2023 natures'!AB3</f>
        <v>35.017784313725492</v>
      </c>
      <c r="AC107" s="13">
        <f>'4.1 Comptes 2023 natures'!AC107/'4.1 Comptes 2023 natures'!AC3</f>
        <v>17.573845070422536</v>
      </c>
      <c r="AD107" s="13">
        <f>'4.1 Comptes 2023 natures'!AD107/'4.1 Comptes 2023 natures'!AD3</f>
        <v>36.923780918727914</v>
      </c>
      <c r="AE107" s="13">
        <f>'4.1 Comptes 2023 natures'!AE107/'4.1 Comptes 2023 natures'!AE3</f>
        <v>25.085590551181102</v>
      </c>
      <c r="AF107" s="13">
        <f>'4.1 Comptes 2023 natures'!AF107/'4.1 Comptes 2023 natures'!AF3</f>
        <v>27.205503321410323</v>
      </c>
      <c r="AG107" s="13">
        <f>'4.1 Comptes 2023 natures'!AG107/'4.1 Comptes 2023 natures'!AG3</f>
        <v>36.394626168224299</v>
      </c>
      <c r="AH107" s="13">
        <f>'4.1 Comptes 2023 natures'!AH107/'4.1 Comptes 2023 natures'!AH3</f>
        <v>54.270585774058574</v>
      </c>
      <c r="AI107" s="13">
        <f>'4.1 Comptes 2023 natures'!AI107/'4.1 Comptes 2023 natures'!AI3</f>
        <v>22.55744</v>
      </c>
      <c r="AJ107" s="13">
        <f>'4.1 Comptes 2023 natures'!AJ107/'4.1 Comptes 2023 natures'!AJ3</f>
        <v>44.084394336654434</v>
      </c>
      <c r="AK107" s="13">
        <f>'4.1 Comptes 2023 natures'!AK107/'4.1 Comptes 2023 natures'!AK3</f>
        <v>106.22410052910054</v>
      </c>
      <c r="AL107" s="13">
        <f>'4.1 Comptes 2023 natures'!AL107/'4.1 Comptes 2023 natures'!AL3</f>
        <v>40.238886118038238</v>
      </c>
      <c r="AM107" s="13">
        <f>'4.1 Comptes 2023 natures'!AM107/'4.1 Comptes 2023 natures'!AM3</f>
        <v>71.74499999999999</v>
      </c>
      <c r="AN107" s="13">
        <f>'4.1 Comptes 2023 natures'!AN107/'4.1 Comptes 2023 natures'!AN3</f>
        <v>45.773783091374895</v>
      </c>
      <c r="AO107" s="13">
        <f>'4.1 Comptes 2023 natures'!AO107/'4.1 Comptes 2023 natures'!AO3</f>
        <v>68.331404580152665</v>
      </c>
      <c r="AP107" s="13">
        <f>'4.1 Comptes 2023 natures'!AP107/'4.1 Comptes 2023 natures'!AP3</f>
        <v>46.357765451664022</v>
      </c>
      <c r="AQ107" s="13">
        <f>'4.1 Comptes 2023 natures'!AQ107/'4.1 Comptes 2023 natures'!AQ3</f>
        <v>28.308307573415764</v>
      </c>
      <c r="AR107" s="13">
        <f>'4.1 Comptes 2023 natures'!AR107/'4.1 Comptes 2023 natures'!AR3</f>
        <v>52.037739251040222</v>
      </c>
      <c r="AS107" s="13">
        <f>'4.1 Comptes 2023 natures'!AS107/'4.1 Comptes 2023 natures'!AS3</f>
        <v>50.9843679245283</v>
      </c>
      <c r="AT107" s="13">
        <f>'4.1 Comptes 2023 natures'!AT107/'4.1 Comptes 2023 natures'!AT3</f>
        <v>28.859108280254777</v>
      </c>
      <c r="AU107" s="13">
        <f>'4.1 Comptes 2023 natures'!AU107/'4.1 Comptes 2023 natures'!AU3</f>
        <v>38.092083163473298</v>
      </c>
      <c r="AV107" s="13">
        <f>'4.1 Comptes 2023 natures'!AV107/'4.1 Comptes 2023 natures'!AV3</f>
        <v>26.626356589147285</v>
      </c>
      <c r="AW107" s="13">
        <f>'4.1 Comptes 2023 natures'!AW107/'4.1 Comptes 2023 natures'!AW3</f>
        <v>43.460578512396694</v>
      </c>
      <c r="AX107" s="13">
        <f>'4.1 Comptes 2023 natures'!AX107/'4.1 Comptes 2023 natures'!AX3</f>
        <v>36.906897590361446</v>
      </c>
      <c r="AY107" s="13">
        <f>'4.1 Comptes 2023 natures'!AY107/'4.1 Comptes 2023 natures'!AY3</f>
        <v>46.186484517304187</v>
      </c>
      <c r="AZ107" s="13">
        <f>'4.1 Comptes 2023 natures'!AZ107/'4.1 Comptes 2023 natures'!AZ3</f>
        <v>66.750866141732288</v>
      </c>
      <c r="BA107" s="13">
        <f>'4.1 Comptes 2023 natures'!BA107/'4.1 Comptes 2023 natures'!BA3</f>
        <v>51.869659413434249</v>
      </c>
      <c r="BB107" s="13">
        <f>'4.1 Comptes 2023 natures'!BB107/'4.1 Comptes 2023 natures'!BB3</f>
        <v>67.185824875018938</v>
      </c>
      <c r="BC107" s="13">
        <f>'4.1 Comptes 2023 natures'!BC107/'4.1 Comptes 2023 natures'!BC3</f>
        <v>125.01654478976235</v>
      </c>
      <c r="BD107" s="13">
        <f>'4.1 Comptes 2023 natures'!BD107/'4.1 Comptes 2023 natures'!BD3</f>
        <v>48.501930970649767</v>
      </c>
      <c r="BE107" s="13">
        <f>'4.1 Comptes 2023 natures'!BE107/'4.1 Comptes 2023 natures'!BE3</f>
        <v>45.713045890065558</v>
      </c>
      <c r="BF107" s="13">
        <f>'4.1 Comptes 2023 natures'!BF107/'4.1 Comptes 2023 natures'!BF3</f>
        <v>44.3095907321242</v>
      </c>
      <c r="BG107" s="13">
        <f>'4.1 Comptes 2023 natures'!BG107/'4.1 Comptes 2023 natures'!BG3</f>
        <v>54.855616455228478</v>
      </c>
    </row>
    <row r="108" spans="2:59" x14ac:dyDescent="0.2">
      <c r="C108" s="8">
        <v>441</v>
      </c>
      <c r="D108" s="8" t="s">
        <v>160</v>
      </c>
      <c r="E108" s="13">
        <f>'4.1 Comptes 2023 natures'!E108/'4.1 Comptes 2023 natures'!E3</f>
        <v>0</v>
      </c>
      <c r="F108" s="13">
        <f>'4.1 Comptes 2023 natures'!F108/'4.1 Comptes 2023 natures'!F3</f>
        <v>0</v>
      </c>
      <c r="G108" s="13">
        <f>'4.1 Comptes 2023 natures'!G108/'4.1 Comptes 2023 natures'!G3</f>
        <v>0</v>
      </c>
      <c r="H108" s="13">
        <f>'4.1 Comptes 2023 natures'!H108/'4.1 Comptes 2023 natures'!H3</f>
        <v>0</v>
      </c>
      <c r="I108" s="13">
        <f>'4.1 Comptes 2023 natures'!I108/'4.1 Comptes 2023 natures'!I3</f>
        <v>0</v>
      </c>
      <c r="J108" s="13">
        <f>'4.1 Comptes 2023 natures'!J108/'4.1 Comptes 2023 natures'!J3</f>
        <v>0</v>
      </c>
      <c r="K108" s="13">
        <f>'4.1 Comptes 2023 natures'!K108/'4.1 Comptes 2023 natures'!K3</f>
        <v>0</v>
      </c>
      <c r="L108" s="13">
        <f>'4.1 Comptes 2023 natures'!L108/'4.1 Comptes 2023 natures'!L3</f>
        <v>0</v>
      </c>
      <c r="M108" s="13">
        <f>'4.1 Comptes 2023 natures'!M108/'4.1 Comptes 2023 natures'!M3</f>
        <v>0</v>
      </c>
      <c r="N108" s="13">
        <f>'4.1 Comptes 2023 natures'!N108/'4.1 Comptes 2023 natures'!N3</f>
        <v>0</v>
      </c>
      <c r="O108" s="13">
        <f>'4.1 Comptes 2023 natures'!O108/'4.1 Comptes 2023 natures'!O3</f>
        <v>38.396805215973927</v>
      </c>
      <c r="P108" s="13">
        <f>'4.1 Comptes 2023 natures'!P108/'4.1 Comptes 2023 natures'!P3</f>
        <v>0</v>
      </c>
      <c r="Q108" s="13">
        <f>'4.1 Comptes 2023 natures'!Q108/'4.1 Comptes 2023 natures'!Q3</f>
        <v>0</v>
      </c>
      <c r="R108" s="13">
        <f>'4.1 Comptes 2023 natures'!R108/'4.1 Comptes 2023 natures'!R3</f>
        <v>0</v>
      </c>
      <c r="S108" s="13">
        <f>'4.1 Comptes 2023 natures'!S108/'4.1 Comptes 2023 natures'!S3</f>
        <v>0</v>
      </c>
      <c r="T108" s="13">
        <f>'4.1 Comptes 2023 natures'!T108/'4.1 Comptes 2023 natures'!T3</f>
        <v>0</v>
      </c>
      <c r="U108" s="13">
        <f>'4.1 Comptes 2023 natures'!U108/'4.1 Comptes 2023 natures'!U3</f>
        <v>0</v>
      </c>
      <c r="V108" s="13">
        <f>'4.1 Comptes 2023 natures'!V108/'4.1 Comptes 2023 natures'!V3</f>
        <v>0</v>
      </c>
      <c r="W108" s="13">
        <f>'4.1 Comptes 2023 natures'!W108/'4.1 Comptes 2023 natures'!W3</f>
        <v>9.9830620985010707</v>
      </c>
      <c r="X108" s="13">
        <f>'4.1 Comptes 2023 natures'!X108/'4.1 Comptes 2023 natures'!X3</f>
        <v>0</v>
      </c>
      <c r="Y108" s="13">
        <f>'4.1 Comptes 2023 natures'!Y108/'4.1 Comptes 2023 natures'!Y3</f>
        <v>0</v>
      </c>
      <c r="Z108" s="13">
        <f>'4.1 Comptes 2023 natures'!Z108/'4.1 Comptes 2023 natures'!Z3</f>
        <v>0</v>
      </c>
      <c r="AA108" s="13">
        <f>'4.1 Comptes 2023 natures'!AA108/'4.1 Comptes 2023 natures'!AA3</f>
        <v>0</v>
      </c>
      <c r="AB108" s="13">
        <f>'4.1 Comptes 2023 natures'!AB108/'4.1 Comptes 2023 natures'!AB3</f>
        <v>0</v>
      </c>
      <c r="AC108" s="13">
        <f>'4.1 Comptes 2023 natures'!AC108/'4.1 Comptes 2023 natures'!AC3</f>
        <v>34.116901408450701</v>
      </c>
      <c r="AD108" s="13">
        <f>'4.1 Comptes 2023 natures'!AD108/'4.1 Comptes 2023 natures'!AD3</f>
        <v>0</v>
      </c>
      <c r="AE108" s="13">
        <f>'4.1 Comptes 2023 natures'!AE108/'4.1 Comptes 2023 natures'!AE3</f>
        <v>670.37401574803152</v>
      </c>
      <c r="AF108" s="13">
        <f>'4.1 Comptes 2023 natures'!AF108/'4.1 Comptes 2023 natures'!AF3</f>
        <v>0</v>
      </c>
      <c r="AG108" s="13">
        <f>'4.1 Comptes 2023 natures'!AG108/'4.1 Comptes 2023 natures'!AG3</f>
        <v>0.53835669781931461</v>
      </c>
      <c r="AH108" s="13">
        <f>'4.1 Comptes 2023 natures'!AH108/'4.1 Comptes 2023 natures'!AH3</f>
        <v>0</v>
      </c>
      <c r="AI108" s="13">
        <f>'4.1 Comptes 2023 natures'!AI108/'4.1 Comptes 2023 natures'!AI3</f>
        <v>28.167999999999999</v>
      </c>
      <c r="AJ108" s="13">
        <f>'4.1 Comptes 2023 natures'!AJ108/'4.1 Comptes 2023 natures'!AJ3</f>
        <v>0</v>
      </c>
      <c r="AK108" s="13">
        <f>'4.1 Comptes 2023 natures'!AK108/'4.1 Comptes 2023 natures'!AK3</f>
        <v>0</v>
      </c>
      <c r="AL108" s="13">
        <f>'4.1 Comptes 2023 natures'!AL108/'4.1 Comptes 2023 natures'!AL3</f>
        <v>0</v>
      </c>
      <c r="AM108" s="13">
        <f>'4.1 Comptes 2023 natures'!AM108/'4.1 Comptes 2023 natures'!AM3</f>
        <v>0</v>
      </c>
      <c r="AN108" s="13">
        <f>'4.1 Comptes 2023 natures'!AN108/'4.1 Comptes 2023 natures'!AN3</f>
        <v>0.67463706233988041</v>
      </c>
      <c r="AO108" s="13">
        <f>'4.1 Comptes 2023 natures'!AO108/'4.1 Comptes 2023 natures'!AO3</f>
        <v>0</v>
      </c>
      <c r="AP108" s="13">
        <f>'4.1 Comptes 2023 natures'!AP108/'4.1 Comptes 2023 natures'!AP3</f>
        <v>0</v>
      </c>
      <c r="AQ108" s="13">
        <f>'4.1 Comptes 2023 natures'!AQ108/'4.1 Comptes 2023 natures'!AQ3</f>
        <v>2.1947449768160743</v>
      </c>
      <c r="AR108" s="13">
        <f>'4.1 Comptes 2023 natures'!AR108/'4.1 Comptes 2023 natures'!AR3</f>
        <v>0</v>
      </c>
      <c r="AS108" s="13">
        <f>'4.1 Comptes 2023 natures'!AS108/'4.1 Comptes 2023 natures'!AS3</f>
        <v>0</v>
      </c>
      <c r="AT108" s="13">
        <f>'4.1 Comptes 2023 natures'!AT108/'4.1 Comptes 2023 natures'!AT3</f>
        <v>0</v>
      </c>
      <c r="AU108" s="13">
        <f>'4.1 Comptes 2023 natures'!AU108/'4.1 Comptes 2023 natures'!AU3</f>
        <v>0</v>
      </c>
      <c r="AV108" s="13">
        <f>'4.1 Comptes 2023 natures'!AV108/'4.1 Comptes 2023 natures'!AV3</f>
        <v>0</v>
      </c>
      <c r="AW108" s="13">
        <f>'4.1 Comptes 2023 natures'!AW108/'4.1 Comptes 2023 natures'!AW3</f>
        <v>0</v>
      </c>
      <c r="AX108" s="13">
        <f>'4.1 Comptes 2023 natures'!AX108/'4.1 Comptes 2023 natures'!AX3</f>
        <v>0</v>
      </c>
      <c r="AY108" s="13">
        <f>'4.1 Comptes 2023 natures'!AY108/'4.1 Comptes 2023 natures'!AY3</f>
        <v>0</v>
      </c>
      <c r="AZ108" s="13">
        <f>'4.1 Comptes 2023 natures'!AZ108/'4.1 Comptes 2023 natures'!AZ3</f>
        <v>0</v>
      </c>
      <c r="BA108" s="13">
        <f>'4.1 Comptes 2023 natures'!BA108/'4.1 Comptes 2023 natures'!BA3</f>
        <v>0</v>
      </c>
      <c r="BB108" s="13">
        <f>'4.1 Comptes 2023 natures'!BB108/'4.1 Comptes 2023 natures'!BB3</f>
        <v>0</v>
      </c>
      <c r="BC108" s="13">
        <f>'4.1 Comptes 2023 natures'!BC108/'4.1 Comptes 2023 natures'!BC3</f>
        <v>0</v>
      </c>
      <c r="BD108" s="13">
        <f>'4.1 Comptes 2023 natures'!BD108/'4.1 Comptes 2023 natures'!BD3</f>
        <v>9.2372486183398621</v>
      </c>
      <c r="BE108" s="13">
        <f>'4.1 Comptes 2023 natures'!BE108/'4.1 Comptes 2023 natures'!BE3</f>
        <v>7.9503759455370657</v>
      </c>
      <c r="BF108" s="13">
        <f>'4.1 Comptes 2023 natures'!BF108/'4.1 Comptes 2023 natures'!BF3</f>
        <v>35.103646377362075</v>
      </c>
      <c r="BG108" s="13">
        <f>'4.1 Comptes 2023 natures'!BG108/'4.1 Comptes 2023 natures'!BG3</f>
        <v>0.14903313215913289</v>
      </c>
    </row>
    <row r="109" spans="2:59" x14ac:dyDescent="0.2">
      <c r="C109" s="8">
        <v>442</v>
      </c>
      <c r="D109" s="8" t="s">
        <v>161</v>
      </c>
      <c r="E109" s="13">
        <f>'4.1 Comptes 2023 natures'!E109/'4.1 Comptes 2023 natures'!E3</f>
        <v>1.1989594172736733</v>
      </c>
      <c r="F109" s="13">
        <f>'4.1 Comptes 2023 natures'!F109/'4.1 Comptes 2023 natures'!F3</f>
        <v>0</v>
      </c>
      <c r="G109" s="13">
        <f>'4.1 Comptes 2023 natures'!G109/'4.1 Comptes 2023 natures'!G3</f>
        <v>0</v>
      </c>
      <c r="H109" s="13">
        <f>'4.1 Comptes 2023 natures'!H109/'4.1 Comptes 2023 natures'!H3</f>
        <v>0</v>
      </c>
      <c r="I109" s="13">
        <f>'4.1 Comptes 2023 natures'!I109/'4.1 Comptes 2023 natures'!I3</f>
        <v>2.7124352331606216</v>
      </c>
      <c r="J109" s="13">
        <f>'4.1 Comptes 2023 natures'!J109/'4.1 Comptes 2023 natures'!J3</f>
        <v>0.60055948174322737</v>
      </c>
      <c r="K109" s="13">
        <f>'4.1 Comptes 2023 natures'!K109/'4.1 Comptes 2023 natures'!K3</f>
        <v>0</v>
      </c>
      <c r="L109" s="13">
        <f>'4.1 Comptes 2023 natures'!L109/'4.1 Comptes 2023 natures'!L3</f>
        <v>3.4204411649266033</v>
      </c>
      <c r="M109" s="13">
        <f>'4.1 Comptes 2023 natures'!M109/'4.1 Comptes 2023 natures'!M3</f>
        <v>0</v>
      </c>
      <c r="N109" s="13">
        <f>'4.1 Comptes 2023 natures'!N109/'4.1 Comptes 2023 natures'!N3</f>
        <v>0</v>
      </c>
      <c r="O109" s="13">
        <f>'4.1 Comptes 2023 natures'!O109/'4.1 Comptes 2023 natures'!O3</f>
        <v>0.70042108122792723</v>
      </c>
      <c r="P109" s="13">
        <f>'4.1 Comptes 2023 natures'!P109/'4.1 Comptes 2023 natures'!P3</f>
        <v>0</v>
      </c>
      <c r="Q109" s="13">
        <f>'4.1 Comptes 2023 natures'!Q109/'4.1 Comptes 2023 natures'!Q3</f>
        <v>0.20535714285714285</v>
      </c>
      <c r="R109" s="13">
        <f>'4.1 Comptes 2023 natures'!R109/'4.1 Comptes 2023 natures'!R3</f>
        <v>0</v>
      </c>
      <c r="S109" s="13">
        <f>'4.1 Comptes 2023 natures'!S109/'4.1 Comptes 2023 natures'!S3</f>
        <v>1.0229226361031518E-2</v>
      </c>
      <c r="T109" s="13">
        <f>'4.1 Comptes 2023 natures'!T109/'4.1 Comptes 2023 natures'!T3</f>
        <v>1.8519781718963164</v>
      </c>
      <c r="U109" s="13">
        <f>'4.1 Comptes 2023 natures'!U109/'4.1 Comptes 2023 natures'!U3</f>
        <v>0</v>
      </c>
      <c r="V109" s="13">
        <f>'4.1 Comptes 2023 natures'!V109/'4.1 Comptes 2023 natures'!V3</f>
        <v>0</v>
      </c>
      <c r="W109" s="13">
        <f>'4.1 Comptes 2023 natures'!W109/'4.1 Comptes 2023 natures'!W3</f>
        <v>7.0052003670847351E-2</v>
      </c>
      <c r="X109" s="13">
        <f>'4.1 Comptes 2023 natures'!X109/'4.1 Comptes 2023 natures'!X3</f>
        <v>1.6393442622950821E-2</v>
      </c>
      <c r="Y109" s="13">
        <f>'4.1 Comptes 2023 natures'!Y109/'4.1 Comptes 2023 natures'!Y3</f>
        <v>0</v>
      </c>
      <c r="Z109" s="13">
        <f>'4.1 Comptes 2023 natures'!Z109/'4.1 Comptes 2023 natures'!Z3</f>
        <v>0</v>
      </c>
      <c r="AA109" s="13">
        <f>'4.1 Comptes 2023 natures'!AA109/'4.1 Comptes 2023 natures'!AA3</f>
        <v>0</v>
      </c>
      <c r="AB109" s="13">
        <f>'4.1 Comptes 2023 natures'!AB109/'4.1 Comptes 2023 natures'!AB3</f>
        <v>0</v>
      </c>
      <c r="AC109" s="13">
        <f>'4.1 Comptes 2023 natures'!AC109/'4.1 Comptes 2023 natures'!AC3</f>
        <v>2.464788732394366E-2</v>
      </c>
      <c r="AD109" s="13">
        <f>'4.1 Comptes 2023 natures'!AD109/'4.1 Comptes 2023 natures'!AD3</f>
        <v>0</v>
      </c>
      <c r="AE109" s="13">
        <f>'4.1 Comptes 2023 natures'!AE109/'4.1 Comptes 2023 natures'!AE3</f>
        <v>0</v>
      </c>
      <c r="AF109" s="13">
        <f>'4.1 Comptes 2023 natures'!AF109/'4.1 Comptes 2023 natures'!AF3</f>
        <v>6.824220746039857</v>
      </c>
      <c r="AG109" s="13">
        <f>'4.1 Comptes 2023 natures'!AG109/'4.1 Comptes 2023 natures'!AG3</f>
        <v>15.771028037383177</v>
      </c>
      <c r="AH109" s="13">
        <f>'4.1 Comptes 2023 natures'!AH109/'4.1 Comptes 2023 natures'!AH3</f>
        <v>0</v>
      </c>
      <c r="AI109" s="13">
        <f>'4.1 Comptes 2023 natures'!AI109/'4.1 Comptes 2023 natures'!AI3</f>
        <v>0</v>
      </c>
      <c r="AJ109" s="13">
        <f>'4.1 Comptes 2023 natures'!AJ109/'4.1 Comptes 2023 natures'!AJ3</f>
        <v>0</v>
      </c>
      <c r="AK109" s="13">
        <f>'4.1 Comptes 2023 natures'!AK109/'4.1 Comptes 2023 natures'!AK3</f>
        <v>2.1428571428571428</v>
      </c>
      <c r="AL109" s="13">
        <f>'4.1 Comptes 2023 natures'!AL109/'4.1 Comptes 2023 natures'!AL3</f>
        <v>0</v>
      </c>
      <c r="AM109" s="13">
        <f>'4.1 Comptes 2023 natures'!AM109/'4.1 Comptes 2023 natures'!AM3</f>
        <v>0</v>
      </c>
      <c r="AN109" s="13">
        <f>'4.1 Comptes 2023 natures'!AN109/'4.1 Comptes 2023 natures'!AN3</f>
        <v>0</v>
      </c>
      <c r="AO109" s="13">
        <f>'4.1 Comptes 2023 natures'!AO109/'4.1 Comptes 2023 natures'!AO3</f>
        <v>6.1068702290076333E-2</v>
      </c>
      <c r="AP109" s="13">
        <f>'4.1 Comptes 2023 natures'!AP109/'4.1 Comptes 2023 natures'!AP3</f>
        <v>0</v>
      </c>
      <c r="AQ109" s="13">
        <f>'4.1 Comptes 2023 natures'!AQ109/'4.1 Comptes 2023 natures'!AQ3</f>
        <v>9.4032071097372487</v>
      </c>
      <c r="AR109" s="13">
        <f>'4.1 Comptes 2023 natures'!AR109/'4.1 Comptes 2023 natures'!AR3</f>
        <v>0</v>
      </c>
      <c r="AS109" s="13">
        <f>'4.1 Comptes 2023 natures'!AS109/'4.1 Comptes 2023 natures'!AS3</f>
        <v>0.35849056603773582</v>
      </c>
      <c r="AT109" s="13">
        <f>'4.1 Comptes 2023 natures'!AT109/'4.1 Comptes 2023 natures'!AT3</f>
        <v>0</v>
      </c>
      <c r="AU109" s="13">
        <f>'4.1 Comptes 2023 natures'!AU109/'4.1 Comptes 2023 natures'!AU3</f>
        <v>0.67162657969832862</v>
      </c>
      <c r="AV109" s="13">
        <f>'4.1 Comptes 2023 natures'!AV109/'4.1 Comptes 2023 natures'!AV3</f>
        <v>4.3504521963824292</v>
      </c>
      <c r="AW109" s="13">
        <f>'4.1 Comptes 2023 natures'!AW109/'4.1 Comptes 2023 natures'!AW3</f>
        <v>0</v>
      </c>
      <c r="AX109" s="13">
        <f>'4.1 Comptes 2023 natures'!AX109/'4.1 Comptes 2023 natures'!AX3</f>
        <v>0</v>
      </c>
      <c r="AY109" s="13">
        <f>'4.1 Comptes 2023 natures'!AY109/'4.1 Comptes 2023 natures'!AY3</f>
        <v>0</v>
      </c>
      <c r="AZ109" s="13">
        <f>'4.1 Comptes 2023 natures'!AZ109/'4.1 Comptes 2023 natures'!AZ3</f>
        <v>0</v>
      </c>
      <c r="BA109" s="13">
        <f>'4.1 Comptes 2023 natures'!BA109/'4.1 Comptes 2023 natures'!BA3</f>
        <v>1.0297350993377483</v>
      </c>
      <c r="BB109" s="13">
        <f>'4.1 Comptes 2023 natures'!BB109/'4.1 Comptes 2023 natures'!BB3</f>
        <v>5.2130904408422971</v>
      </c>
      <c r="BC109" s="13">
        <f>'4.1 Comptes 2023 natures'!BC109/'4.1 Comptes 2023 natures'!BC3</f>
        <v>3.6563071297989032E-2</v>
      </c>
      <c r="BD109" s="13">
        <f>'4.1 Comptes 2023 natures'!BD109/'4.1 Comptes 2023 natures'!BD3</f>
        <v>2.3194560551590921</v>
      </c>
      <c r="BE109" s="13">
        <f>'4.1 Comptes 2023 natures'!BE109/'4.1 Comptes 2023 natures'!BE3</f>
        <v>1.6006245587493695</v>
      </c>
      <c r="BF109" s="13">
        <f>'4.1 Comptes 2023 natures'!BF109/'4.1 Comptes 2023 natures'!BF3</f>
        <v>5.1160858418003992</v>
      </c>
      <c r="BG109" s="13">
        <f>'4.1 Comptes 2023 natures'!BG109/'4.1 Comptes 2023 natures'!BG3</f>
        <v>2.2807628197232828</v>
      </c>
    </row>
    <row r="110" spans="2:59" x14ac:dyDescent="0.2">
      <c r="C110" s="8">
        <v>443</v>
      </c>
      <c r="D110" s="8" t="s">
        <v>162</v>
      </c>
      <c r="E110" s="13">
        <f>'4.1 Comptes 2023 natures'!E110/'4.1 Comptes 2023 natures'!E3</f>
        <v>24.673777315296565</v>
      </c>
      <c r="F110" s="13">
        <f>'4.1 Comptes 2023 natures'!F110/'4.1 Comptes 2023 natures'!F3</f>
        <v>85.517241379310349</v>
      </c>
      <c r="G110" s="13">
        <f>'4.1 Comptes 2023 natures'!G110/'4.1 Comptes 2023 natures'!G3</f>
        <v>229.60971659919028</v>
      </c>
      <c r="H110" s="13">
        <f>'4.1 Comptes 2023 natures'!H110/'4.1 Comptes 2023 natures'!H3</f>
        <v>175.50337078651685</v>
      </c>
      <c r="I110" s="13">
        <f>'4.1 Comptes 2023 natures'!I110/'4.1 Comptes 2023 natures'!I3</f>
        <v>101.94514589582765</v>
      </c>
      <c r="J110" s="13">
        <f>'4.1 Comptes 2023 natures'!J110/'4.1 Comptes 2023 natures'!J3</f>
        <v>40.247349823321557</v>
      </c>
      <c r="K110" s="13">
        <f>'4.1 Comptes 2023 natures'!K110/'4.1 Comptes 2023 natures'!K3</f>
        <v>47.789500734214393</v>
      </c>
      <c r="L110" s="13">
        <f>'4.1 Comptes 2023 natures'!L110/'4.1 Comptes 2023 natures'!L3</f>
        <v>89.373949289583166</v>
      </c>
      <c r="M110" s="13">
        <f>'4.1 Comptes 2023 natures'!M110/'4.1 Comptes 2023 natures'!M3</f>
        <v>12.703206997084548</v>
      </c>
      <c r="N110" s="13">
        <f>'4.1 Comptes 2023 natures'!N110/'4.1 Comptes 2023 natures'!N3</f>
        <v>184.61538461538461</v>
      </c>
      <c r="O110" s="13">
        <f>'4.1 Comptes 2023 natures'!O110/'4.1 Comptes 2023 natures'!O3</f>
        <v>14.367597120347732</v>
      </c>
      <c r="P110" s="13">
        <f>'4.1 Comptes 2023 natures'!P110/'4.1 Comptes 2023 natures'!P3</f>
        <v>46.67289719626168</v>
      </c>
      <c r="Q110" s="13">
        <f>'4.1 Comptes 2023 natures'!Q110/'4.1 Comptes 2023 natures'!Q3</f>
        <v>90.535714285714292</v>
      </c>
      <c r="R110" s="13">
        <f>'4.1 Comptes 2023 natures'!R110/'4.1 Comptes 2023 natures'!R3</f>
        <v>68.285714285714292</v>
      </c>
      <c r="S110" s="13">
        <f>'4.1 Comptes 2023 natures'!S110/'4.1 Comptes 2023 natures'!S3</f>
        <v>42.406876790830943</v>
      </c>
      <c r="T110" s="13">
        <f>'4.1 Comptes 2023 natures'!T110/'4.1 Comptes 2023 natures'!T3</f>
        <v>79.35263301500683</v>
      </c>
      <c r="U110" s="13">
        <f>'4.1 Comptes 2023 natures'!U110/'4.1 Comptes 2023 natures'!U3</f>
        <v>0</v>
      </c>
      <c r="V110" s="13">
        <f>'4.1 Comptes 2023 natures'!V110/'4.1 Comptes 2023 natures'!V3</f>
        <v>47.273781902552201</v>
      </c>
      <c r="W110" s="13">
        <f>'4.1 Comptes 2023 natures'!W110/'4.1 Comptes 2023 natures'!W3</f>
        <v>42.975848883450595</v>
      </c>
      <c r="X110" s="13">
        <f>'4.1 Comptes 2023 natures'!X110/'4.1 Comptes 2023 natures'!X3</f>
        <v>4.6229508196721314</v>
      </c>
      <c r="Y110" s="13">
        <f>'4.1 Comptes 2023 natures'!Y110/'4.1 Comptes 2023 natures'!Y3</f>
        <v>33.757987220447284</v>
      </c>
      <c r="Z110" s="13">
        <f>'4.1 Comptes 2023 natures'!Z110/'4.1 Comptes 2023 natures'!Z3</f>
        <v>163.75700365408039</v>
      </c>
      <c r="AA110" s="13">
        <f>'4.1 Comptes 2023 natures'!AA110/'4.1 Comptes 2023 natures'!AA3</f>
        <v>173.62416107382549</v>
      </c>
      <c r="AB110" s="13">
        <f>'4.1 Comptes 2023 natures'!AB110/'4.1 Comptes 2023 natures'!AB3</f>
        <v>97.332450980392167</v>
      </c>
      <c r="AC110" s="13">
        <f>'4.1 Comptes 2023 natures'!AC110/'4.1 Comptes 2023 natures'!AC3</f>
        <v>109.92352112676056</v>
      </c>
      <c r="AD110" s="13">
        <f>'4.1 Comptes 2023 natures'!AD110/'4.1 Comptes 2023 natures'!AD3</f>
        <v>2.9346289752650176</v>
      </c>
      <c r="AE110" s="13">
        <f>'4.1 Comptes 2023 natures'!AE110/'4.1 Comptes 2023 natures'!AE3</f>
        <v>155.30334645669294</v>
      </c>
      <c r="AF110" s="13">
        <f>'4.1 Comptes 2023 natures'!AF110/'4.1 Comptes 2023 natures'!AF3</f>
        <v>45.313924374041903</v>
      </c>
      <c r="AG110" s="13">
        <f>'4.1 Comptes 2023 natures'!AG110/'4.1 Comptes 2023 natures'!AG3</f>
        <v>14.349610591900312</v>
      </c>
      <c r="AH110" s="13">
        <f>'4.1 Comptes 2023 natures'!AH110/'4.1 Comptes 2023 natures'!AH3</f>
        <v>2.293221757322176</v>
      </c>
      <c r="AI110" s="13">
        <f>'4.1 Comptes 2023 natures'!AI110/'4.1 Comptes 2023 natures'!AI3</f>
        <v>204.64</v>
      </c>
      <c r="AJ110" s="13">
        <f>'4.1 Comptes 2023 natures'!AJ110/'4.1 Comptes 2023 natures'!AJ3</f>
        <v>0</v>
      </c>
      <c r="AK110" s="13">
        <f>'4.1 Comptes 2023 natures'!AK110/'4.1 Comptes 2023 natures'!AK3</f>
        <v>120.96865079365081</v>
      </c>
      <c r="AL110" s="13">
        <f>'4.1 Comptes 2023 natures'!AL110/'4.1 Comptes 2023 natures'!AL3</f>
        <v>55.731795511221947</v>
      </c>
      <c r="AM110" s="13">
        <f>'4.1 Comptes 2023 natures'!AM110/'4.1 Comptes 2023 natures'!AM3</f>
        <v>76.325000000000003</v>
      </c>
      <c r="AN110" s="13">
        <f>'4.1 Comptes 2023 natures'!AN110/'4.1 Comptes 2023 natures'!AN3</f>
        <v>180.82726729291204</v>
      </c>
      <c r="AO110" s="13">
        <f>'4.1 Comptes 2023 natures'!AO110/'4.1 Comptes 2023 natures'!AO3</f>
        <v>38.814503816793895</v>
      </c>
      <c r="AP110" s="13">
        <f>'4.1 Comptes 2023 natures'!AP110/'4.1 Comptes 2023 natures'!AP3</f>
        <v>25.465213946117274</v>
      </c>
      <c r="AQ110" s="13">
        <f>'4.1 Comptes 2023 natures'!AQ110/'4.1 Comptes 2023 natures'!AQ3</f>
        <v>321.4172333848532</v>
      </c>
      <c r="AR110" s="13">
        <f>'4.1 Comptes 2023 natures'!AR110/'4.1 Comptes 2023 natures'!AR3</f>
        <v>27.909015256588074</v>
      </c>
      <c r="AS110" s="13">
        <f>'4.1 Comptes 2023 natures'!AS110/'4.1 Comptes 2023 natures'!AS3</f>
        <v>65.336745283018871</v>
      </c>
      <c r="AT110" s="13">
        <f>'4.1 Comptes 2023 natures'!AT110/'4.1 Comptes 2023 natures'!AT3</f>
        <v>93.018471337579612</v>
      </c>
      <c r="AU110" s="13">
        <f>'4.1 Comptes 2023 natures'!AU110/'4.1 Comptes 2023 natures'!AU3</f>
        <v>0</v>
      </c>
      <c r="AV110" s="13">
        <f>'4.1 Comptes 2023 natures'!AV110/'4.1 Comptes 2023 natures'!AV3</f>
        <v>32.756524547803615</v>
      </c>
      <c r="AW110" s="13">
        <f>'4.1 Comptes 2023 natures'!AW110/'4.1 Comptes 2023 natures'!AW3</f>
        <v>18.622451790633608</v>
      </c>
      <c r="AX110" s="13">
        <f>'4.1 Comptes 2023 natures'!AX110/'4.1 Comptes 2023 natures'!AX3</f>
        <v>119.22228915662652</v>
      </c>
      <c r="AY110" s="13">
        <f>'4.1 Comptes 2023 natures'!AY110/'4.1 Comptes 2023 natures'!AY3</f>
        <v>38.007164541590775</v>
      </c>
      <c r="AZ110" s="13">
        <f>'4.1 Comptes 2023 natures'!AZ110/'4.1 Comptes 2023 natures'!AZ3</f>
        <v>87.794488188976374</v>
      </c>
      <c r="BA110" s="13">
        <f>'4.1 Comptes 2023 natures'!BA110/'4.1 Comptes 2023 natures'!BA3</f>
        <v>90.41584673604541</v>
      </c>
      <c r="BB110" s="13">
        <f>'4.1 Comptes 2023 natures'!BB110/'4.1 Comptes 2023 natures'!BB3</f>
        <v>48.005347674594759</v>
      </c>
      <c r="BC110" s="13">
        <f>'4.1 Comptes 2023 natures'!BC110/'4.1 Comptes 2023 natures'!BC3</f>
        <v>79.129561243144423</v>
      </c>
      <c r="BD110" s="13">
        <f>'4.1 Comptes 2023 natures'!BD110/'4.1 Comptes 2023 natures'!BD3</f>
        <v>64.140293502173094</v>
      </c>
      <c r="BE110" s="13">
        <f>'4.1 Comptes 2023 natures'!BE110/'4.1 Comptes 2023 natures'!BE3</f>
        <v>62.007197932425626</v>
      </c>
      <c r="BF110" s="13">
        <f>'4.1 Comptes 2023 natures'!BF110/'4.1 Comptes 2023 natures'!BF3</f>
        <v>66.311991263887563</v>
      </c>
      <c r="BG110" s="13">
        <f>'4.1 Comptes 2023 natures'!BG110/'4.1 Comptes 2023 natures'!BG3</f>
        <v>66.674613047583861</v>
      </c>
    </row>
    <row r="111" spans="2:59" x14ac:dyDescent="0.2">
      <c r="C111" s="8">
        <v>444</v>
      </c>
      <c r="D111" s="8" t="s">
        <v>102</v>
      </c>
      <c r="E111" s="13">
        <f>'4.1 Comptes 2023 natures'!E111/'4.1 Comptes 2023 natures'!E3</f>
        <v>0</v>
      </c>
      <c r="F111" s="13">
        <f>'4.1 Comptes 2023 natures'!F111/'4.1 Comptes 2023 natures'!F3</f>
        <v>0</v>
      </c>
      <c r="G111" s="13">
        <f>'4.1 Comptes 2023 natures'!G111/'4.1 Comptes 2023 natures'!G3</f>
        <v>454.19182186234821</v>
      </c>
      <c r="H111" s="13">
        <f>'4.1 Comptes 2023 natures'!H111/'4.1 Comptes 2023 natures'!H3</f>
        <v>0</v>
      </c>
      <c r="I111" s="13">
        <f>'4.1 Comptes 2023 natures'!I111/'4.1 Comptes 2023 natures'!I3</f>
        <v>13.798745568584675</v>
      </c>
      <c r="J111" s="13">
        <f>'4.1 Comptes 2023 natures'!J111/'4.1 Comptes 2023 natures'!J3</f>
        <v>0</v>
      </c>
      <c r="K111" s="13">
        <f>'4.1 Comptes 2023 natures'!K111/'4.1 Comptes 2023 natures'!K3</f>
        <v>0</v>
      </c>
      <c r="L111" s="13">
        <f>'4.1 Comptes 2023 natures'!L111/'4.1 Comptes 2023 natures'!L3</f>
        <v>151.15734359054869</v>
      </c>
      <c r="M111" s="13">
        <f>'4.1 Comptes 2023 natures'!M111/'4.1 Comptes 2023 natures'!M3</f>
        <v>0</v>
      </c>
      <c r="N111" s="13">
        <f>'4.1 Comptes 2023 natures'!N111/'4.1 Comptes 2023 natures'!N3</f>
        <v>0</v>
      </c>
      <c r="O111" s="13">
        <f>'4.1 Comptes 2023 natures'!O111/'4.1 Comptes 2023 natures'!O3</f>
        <v>2.4993208367291495</v>
      </c>
      <c r="P111" s="13">
        <f>'4.1 Comptes 2023 natures'!P111/'4.1 Comptes 2023 natures'!P3</f>
        <v>0</v>
      </c>
      <c r="Q111" s="13">
        <f>'4.1 Comptes 2023 natures'!Q111/'4.1 Comptes 2023 natures'!Q3</f>
        <v>0</v>
      </c>
      <c r="R111" s="13">
        <f>'4.1 Comptes 2023 natures'!R111/'4.1 Comptes 2023 natures'!R3</f>
        <v>488.57142857142856</v>
      </c>
      <c r="S111" s="13">
        <f>'4.1 Comptes 2023 natures'!S111/'4.1 Comptes 2023 natures'!S3</f>
        <v>206.59025787965615</v>
      </c>
      <c r="T111" s="13">
        <f>'4.1 Comptes 2023 natures'!T111/'4.1 Comptes 2023 natures'!T3</f>
        <v>1.0065484311050477</v>
      </c>
      <c r="U111" s="13">
        <f>'4.1 Comptes 2023 natures'!U111/'4.1 Comptes 2023 natures'!U3</f>
        <v>82.600732600732599</v>
      </c>
      <c r="V111" s="13">
        <f>'4.1 Comptes 2023 natures'!V111/'4.1 Comptes 2023 natures'!V3</f>
        <v>0</v>
      </c>
      <c r="W111" s="13">
        <f>'4.1 Comptes 2023 natures'!W111/'4.1 Comptes 2023 natures'!W3</f>
        <v>-6.1180789232181093E-2</v>
      </c>
      <c r="X111" s="13">
        <f>'4.1 Comptes 2023 natures'!X111/'4.1 Comptes 2023 natures'!X3</f>
        <v>0</v>
      </c>
      <c r="Y111" s="13">
        <f>'4.1 Comptes 2023 natures'!Y111/'4.1 Comptes 2023 natures'!Y3</f>
        <v>0</v>
      </c>
      <c r="Z111" s="13">
        <f>'4.1 Comptes 2023 natures'!Z111/'4.1 Comptes 2023 natures'!Z3</f>
        <v>0</v>
      </c>
      <c r="AA111" s="13">
        <f>'4.1 Comptes 2023 natures'!AA111/'4.1 Comptes 2023 natures'!AA3</f>
        <v>61.261744966442954</v>
      </c>
      <c r="AB111" s="13">
        <f>'4.1 Comptes 2023 natures'!AB111/'4.1 Comptes 2023 natures'!AB3</f>
        <v>18.03921568627451</v>
      </c>
      <c r="AC111" s="13">
        <f>'4.1 Comptes 2023 natures'!AC111/'4.1 Comptes 2023 natures'!AC3</f>
        <v>0</v>
      </c>
      <c r="AD111" s="13">
        <f>'4.1 Comptes 2023 natures'!AD111/'4.1 Comptes 2023 natures'!AD3</f>
        <v>0.5742049469964664</v>
      </c>
      <c r="AE111" s="13">
        <f>'4.1 Comptes 2023 natures'!AE111/'4.1 Comptes 2023 natures'!AE3</f>
        <v>0</v>
      </c>
      <c r="AF111" s="13">
        <f>'4.1 Comptes 2023 natures'!AF111/'4.1 Comptes 2023 natures'!AF3</f>
        <v>37.608584568216656</v>
      </c>
      <c r="AG111" s="13">
        <f>'4.1 Comptes 2023 natures'!AG111/'4.1 Comptes 2023 natures'!AG3</f>
        <v>8.9271806853582554</v>
      </c>
      <c r="AH111" s="13">
        <f>'4.1 Comptes 2023 natures'!AH111/'4.1 Comptes 2023 natures'!AH3</f>
        <v>4.8117154811715483</v>
      </c>
      <c r="AI111" s="13">
        <f>'4.1 Comptes 2023 natures'!AI111/'4.1 Comptes 2023 natures'!AI3</f>
        <v>0</v>
      </c>
      <c r="AJ111" s="13">
        <f>'4.1 Comptes 2023 natures'!AJ111/'4.1 Comptes 2023 natures'!AJ3</f>
        <v>0</v>
      </c>
      <c r="AK111" s="13">
        <f>'4.1 Comptes 2023 natures'!AK111/'4.1 Comptes 2023 natures'!AK3</f>
        <v>650.37848324514982</v>
      </c>
      <c r="AL111" s="13">
        <f>'4.1 Comptes 2023 natures'!AL111/'4.1 Comptes 2023 natures'!AL3</f>
        <v>0</v>
      </c>
      <c r="AM111" s="13">
        <f>'4.1 Comptes 2023 natures'!AM111/'4.1 Comptes 2023 natures'!AM3</f>
        <v>0</v>
      </c>
      <c r="AN111" s="13">
        <f>'4.1 Comptes 2023 natures'!AN111/'4.1 Comptes 2023 natures'!AN3</f>
        <v>0</v>
      </c>
      <c r="AO111" s="13">
        <f>'4.1 Comptes 2023 natures'!AO111/'4.1 Comptes 2023 natures'!AO3</f>
        <v>0</v>
      </c>
      <c r="AP111" s="13">
        <f>'4.1 Comptes 2023 natures'!AP111/'4.1 Comptes 2023 natures'!AP3</f>
        <v>0</v>
      </c>
      <c r="AQ111" s="13">
        <f>'4.1 Comptes 2023 natures'!AQ111/'4.1 Comptes 2023 natures'!AQ3</f>
        <v>0</v>
      </c>
      <c r="AR111" s="13">
        <f>'4.1 Comptes 2023 natures'!AR111/'4.1 Comptes 2023 natures'!AR3</f>
        <v>167.57975034674064</v>
      </c>
      <c r="AS111" s="13">
        <f>'4.1 Comptes 2023 natures'!AS111/'4.1 Comptes 2023 natures'!AS3</f>
        <v>0</v>
      </c>
      <c r="AT111" s="13">
        <f>'4.1 Comptes 2023 natures'!AT111/'4.1 Comptes 2023 natures'!AT3</f>
        <v>0</v>
      </c>
      <c r="AU111" s="13">
        <f>'4.1 Comptes 2023 natures'!AU111/'4.1 Comptes 2023 natures'!AU3</f>
        <v>0</v>
      </c>
      <c r="AV111" s="13">
        <f>'4.1 Comptes 2023 natures'!AV111/'4.1 Comptes 2023 natures'!AV3</f>
        <v>5.684754521963824</v>
      </c>
      <c r="AW111" s="13">
        <f>'4.1 Comptes 2023 natures'!AW111/'4.1 Comptes 2023 natures'!AW3</f>
        <v>0</v>
      </c>
      <c r="AX111" s="13">
        <f>'4.1 Comptes 2023 natures'!AX111/'4.1 Comptes 2023 natures'!AX3</f>
        <v>0</v>
      </c>
      <c r="AY111" s="13">
        <f>'4.1 Comptes 2023 natures'!AY111/'4.1 Comptes 2023 natures'!AY3</f>
        <v>13.964784456587735</v>
      </c>
      <c r="AZ111" s="13">
        <f>'4.1 Comptes 2023 natures'!AZ111/'4.1 Comptes 2023 natures'!AZ3</f>
        <v>0.10498687664041995</v>
      </c>
      <c r="BA111" s="13">
        <f>'4.1 Comptes 2023 natures'!BA111/'4.1 Comptes 2023 natures'!BA3</f>
        <v>8.7038789025543988</v>
      </c>
      <c r="BB111" s="13">
        <f>'4.1 Comptes 2023 natures'!BB111/'4.1 Comptes 2023 natures'!BB3</f>
        <v>46.640660505983945</v>
      </c>
      <c r="BC111" s="13">
        <f>'4.1 Comptes 2023 natures'!BC111/'4.1 Comptes 2023 natures'!BC3</f>
        <v>0</v>
      </c>
      <c r="BD111" s="13">
        <f>'4.1 Comptes 2023 natures'!BD111/'4.1 Comptes 2023 natures'!BD3</f>
        <v>51.490974405751999</v>
      </c>
      <c r="BE111" s="13">
        <f>'4.1 Comptes 2023 natures'!BE111/'4.1 Comptes 2023 natures'!BE3</f>
        <v>63.523750882501261</v>
      </c>
      <c r="BF111" s="13">
        <f>'4.1 Comptes 2023 natures'!BF111/'4.1 Comptes 2023 natures'!BF3</f>
        <v>11.046244421232551</v>
      </c>
      <c r="BG111" s="13">
        <f>'4.1 Comptes 2023 natures'!BG111/'4.1 Comptes 2023 natures'!BG3</f>
        <v>49.384948885330701</v>
      </c>
    </row>
    <row r="112" spans="2:59" x14ac:dyDescent="0.2">
      <c r="C112" s="8">
        <v>445</v>
      </c>
      <c r="D112" s="8" t="s">
        <v>163</v>
      </c>
      <c r="E112" s="13">
        <f>'4.1 Comptes 2023 natures'!E112/'4.1 Comptes 2023 natures'!E3</f>
        <v>0</v>
      </c>
      <c r="F112" s="13">
        <f>'4.1 Comptes 2023 natures'!F112/'4.1 Comptes 2023 natures'!F3</f>
        <v>0</v>
      </c>
      <c r="G112" s="13">
        <f>'4.1 Comptes 2023 natures'!G112/'4.1 Comptes 2023 natures'!G3</f>
        <v>0</v>
      </c>
      <c r="H112" s="13">
        <f>'4.1 Comptes 2023 natures'!H112/'4.1 Comptes 2023 natures'!H3</f>
        <v>0</v>
      </c>
      <c r="I112" s="13">
        <f>'4.1 Comptes 2023 natures'!I112/'4.1 Comptes 2023 natures'!I3</f>
        <v>0</v>
      </c>
      <c r="J112" s="13">
        <f>'4.1 Comptes 2023 natures'!J112/'4.1 Comptes 2023 natures'!J3</f>
        <v>0</v>
      </c>
      <c r="K112" s="13">
        <f>'4.1 Comptes 2023 natures'!K112/'4.1 Comptes 2023 natures'!K3</f>
        <v>0</v>
      </c>
      <c r="L112" s="13">
        <f>'4.1 Comptes 2023 natures'!L112/'4.1 Comptes 2023 natures'!L3</f>
        <v>11.773844100792841</v>
      </c>
      <c r="M112" s="13">
        <f>'4.1 Comptes 2023 natures'!M112/'4.1 Comptes 2023 natures'!M3</f>
        <v>0</v>
      </c>
      <c r="N112" s="13">
        <f>'4.1 Comptes 2023 natures'!N112/'4.1 Comptes 2023 natures'!N3</f>
        <v>0</v>
      </c>
      <c r="O112" s="13">
        <f>'4.1 Comptes 2023 natures'!O112/'4.1 Comptes 2023 natures'!O3</f>
        <v>0</v>
      </c>
      <c r="P112" s="13">
        <f>'4.1 Comptes 2023 natures'!P112/'4.1 Comptes 2023 natures'!P3</f>
        <v>0</v>
      </c>
      <c r="Q112" s="13">
        <f>'4.1 Comptes 2023 natures'!Q112/'4.1 Comptes 2023 natures'!Q3</f>
        <v>0</v>
      </c>
      <c r="R112" s="13">
        <f>'4.1 Comptes 2023 natures'!R112/'4.1 Comptes 2023 natures'!R3</f>
        <v>0</v>
      </c>
      <c r="S112" s="13">
        <f>'4.1 Comptes 2023 natures'!S112/'4.1 Comptes 2023 natures'!S3</f>
        <v>0</v>
      </c>
      <c r="T112" s="13">
        <f>'4.1 Comptes 2023 natures'!T112/'4.1 Comptes 2023 natures'!T3</f>
        <v>0</v>
      </c>
      <c r="U112" s="13">
        <f>'4.1 Comptes 2023 natures'!U112/'4.1 Comptes 2023 natures'!U3</f>
        <v>0</v>
      </c>
      <c r="V112" s="13">
        <f>'4.1 Comptes 2023 natures'!V112/'4.1 Comptes 2023 natures'!V3</f>
        <v>0</v>
      </c>
      <c r="W112" s="13">
        <f>'4.1 Comptes 2023 natures'!W112/'4.1 Comptes 2023 natures'!W3</f>
        <v>0</v>
      </c>
      <c r="X112" s="13">
        <f>'4.1 Comptes 2023 natures'!X112/'4.1 Comptes 2023 natures'!X3</f>
        <v>0</v>
      </c>
      <c r="Y112" s="13">
        <f>'4.1 Comptes 2023 natures'!Y112/'4.1 Comptes 2023 natures'!Y3</f>
        <v>0</v>
      </c>
      <c r="Z112" s="13">
        <f>'4.1 Comptes 2023 natures'!Z112/'4.1 Comptes 2023 natures'!Z3</f>
        <v>0</v>
      </c>
      <c r="AA112" s="13">
        <f>'4.1 Comptes 2023 natures'!AA112/'4.1 Comptes 2023 natures'!AA3</f>
        <v>0</v>
      </c>
      <c r="AB112" s="13">
        <f>'4.1 Comptes 2023 natures'!AB112/'4.1 Comptes 2023 natures'!AB3</f>
        <v>0</v>
      </c>
      <c r="AC112" s="13">
        <f>'4.1 Comptes 2023 natures'!AC112/'4.1 Comptes 2023 natures'!AC3</f>
        <v>0</v>
      </c>
      <c r="AD112" s="13">
        <f>'4.1 Comptes 2023 natures'!AD112/'4.1 Comptes 2023 natures'!AD3</f>
        <v>0</v>
      </c>
      <c r="AE112" s="13">
        <f>'4.1 Comptes 2023 natures'!AE112/'4.1 Comptes 2023 natures'!AE3</f>
        <v>0</v>
      </c>
      <c r="AF112" s="13">
        <f>'4.1 Comptes 2023 natures'!AF112/'4.1 Comptes 2023 natures'!AF3</f>
        <v>0</v>
      </c>
      <c r="AG112" s="13">
        <f>'4.1 Comptes 2023 natures'!AG112/'4.1 Comptes 2023 natures'!AG3</f>
        <v>0</v>
      </c>
      <c r="AH112" s="13">
        <f>'4.1 Comptes 2023 natures'!AH112/'4.1 Comptes 2023 natures'!AH3</f>
        <v>0</v>
      </c>
      <c r="AI112" s="13">
        <f>'4.1 Comptes 2023 natures'!AI112/'4.1 Comptes 2023 natures'!AI3</f>
        <v>0</v>
      </c>
      <c r="AJ112" s="13">
        <f>'4.1 Comptes 2023 natures'!AJ112/'4.1 Comptes 2023 natures'!AJ3</f>
        <v>0</v>
      </c>
      <c r="AK112" s="13">
        <f>'4.1 Comptes 2023 natures'!AK112/'4.1 Comptes 2023 natures'!AK3</f>
        <v>0</v>
      </c>
      <c r="AL112" s="13">
        <f>'4.1 Comptes 2023 natures'!AL112/'4.1 Comptes 2023 natures'!AL3</f>
        <v>0</v>
      </c>
      <c r="AM112" s="13">
        <f>'4.1 Comptes 2023 natures'!AM112/'4.1 Comptes 2023 natures'!AM3</f>
        <v>0</v>
      </c>
      <c r="AN112" s="13">
        <f>'4.1 Comptes 2023 natures'!AN112/'4.1 Comptes 2023 natures'!AN3</f>
        <v>0</v>
      </c>
      <c r="AO112" s="13">
        <f>'4.1 Comptes 2023 natures'!AO112/'4.1 Comptes 2023 natures'!AO3</f>
        <v>0</v>
      </c>
      <c r="AP112" s="13">
        <f>'4.1 Comptes 2023 natures'!AP112/'4.1 Comptes 2023 natures'!AP3</f>
        <v>0</v>
      </c>
      <c r="AQ112" s="13">
        <f>'4.1 Comptes 2023 natures'!AQ112/'4.1 Comptes 2023 natures'!AQ3</f>
        <v>0</v>
      </c>
      <c r="AR112" s="13">
        <f>'4.1 Comptes 2023 natures'!AR112/'4.1 Comptes 2023 natures'!AR3</f>
        <v>0</v>
      </c>
      <c r="AS112" s="13">
        <f>'4.1 Comptes 2023 natures'!AS112/'4.1 Comptes 2023 natures'!AS3</f>
        <v>0</v>
      </c>
      <c r="AT112" s="13">
        <f>'4.1 Comptes 2023 natures'!AT112/'4.1 Comptes 2023 natures'!AT3</f>
        <v>0</v>
      </c>
      <c r="AU112" s="13">
        <f>'4.1 Comptes 2023 natures'!AU112/'4.1 Comptes 2023 natures'!AU3</f>
        <v>0</v>
      </c>
      <c r="AV112" s="13">
        <f>'4.1 Comptes 2023 natures'!AV112/'4.1 Comptes 2023 natures'!AV3</f>
        <v>0</v>
      </c>
      <c r="AW112" s="13">
        <f>'4.1 Comptes 2023 natures'!AW112/'4.1 Comptes 2023 natures'!AW3</f>
        <v>0</v>
      </c>
      <c r="AX112" s="13">
        <f>'4.1 Comptes 2023 natures'!AX112/'4.1 Comptes 2023 natures'!AX3</f>
        <v>0</v>
      </c>
      <c r="AY112" s="13">
        <f>'4.1 Comptes 2023 natures'!AY112/'4.1 Comptes 2023 natures'!AY3</f>
        <v>0</v>
      </c>
      <c r="AZ112" s="13">
        <f>'4.1 Comptes 2023 natures'!AZ112/'4.1 Comptes 2023 natures'!AZ3</f>
        <v>0</v>
      </c>
      <c r="BA112" s="13">
        <f>'4.1 Comptes 2023 natures'!BA112/'4.1 Comptes 2023 natures'!BA3</f>
        <v>0</v>
      </c>
      <c r="BB112" s="13">
        <f>'4.1 Comptes 2023 natures'!BB112/'4.1 Comptes 2023 natures'!BB3</f>
        <v>0</v>
      </c>
      <c r="BC112" s="13">
        <f>'4.1 Comptes 2023 natures'!BC112/'4.1 Comptes 2023 natures'!BC3</f>
        <v>0</v>
      </c>
      <c r="BD112" s="13">
        <f>'4.1 Comptes 2023 natures'!BD112/'4.1 Comptes 2023 natures'!BD3</f>
        <v>2.011952030906262</v>
      </c>
      <c r="BE112" s="13">
        <f>'4.1 Comptes 2023 natures'!BE112/'4.1 Comptes 2023 natures'!BE3</f>
        <v>3.7818204740292485</v>
      </c>
      <c r="BF112" s="13">
        <f>'4.1 Comptes 2023 natures'!BF112/'4.1 Comptes 2023 natures'!BF3</f>
        <v>0</v>
      </c>
      <c r="BG112" s="13">
        <f>'4.1 Comptes 2023 natures'!BG112/'4.1 Comptes 2023 natures'!BG3</f>
        <v>0</v>
      </c>
    </row>
    <row r="113" spans="2:59" x14ac:dyDescent="0.2">
      <c r="C113" s="8">
        <v>446</v>
      </c>
      <c r="D113" s="8" t="s">
        <v>164</v>
      </c>
      <c r="E113" s="13">
        <f>'4.1 Comptes 2023 natures'!E113/'4.1 Comptes 2023 natures'!E3</f>
        <v>0</v>
      </c>
      <c r="F113" s="13">
        <f>'4.1 Comptes 2023 natures'!F113/'4.1 Comptes 2023 natures'!F3</f>
        <v>0</v>
      </c>
      <c r="G113" s="13">
        <f>'4.1 Comptes 2023 natures'!G113/'4.1 Comptes 2023 natures'!G3</f>
        <v>0</v>
      </c>
      <c r="H113" s="13">
        <f>'4.1 Comptes 2023 natures'!H113/'4.1 Comptes 2023 natures'!H3</f>
        <v>0</v>
      </c>
      <c r="I113" s="13">
        <f>'4.1 Comptes 2023 natures'!I113/'4.1 Comptes 2023 natures'!I3</f>
        <v>0</v>
      </c>
      <c r="J113" s="13">
        <f>'4.1 Comptes 2023 natures'!J113/'4.1 Comptes 2023 natures'!J3</f>
        <v>0</v>
      </c>
      <c r="K113" s="13">
        <f>'4.1 Comptes 2023 natures'!K113/'4.1 Comptes 2023 natures'!K3</f>
        <v>0</v>
      </c>
      <c r="L113" s="13">
        <f>'4.1 Comptes 2023 natures'!L113/'4.1 Comptes 2023 natures'!L3</f>
        <v>0</v>
      </c>
      <c r="M113" s="13">
        <f>'4.1 Comptes 2023 natures'!M113/'4.1 Comptes 2023 natures'!M3</f>
        <v>0</v>
      </c>
      <c r="N113" s="13">
        <f>'4.1 Comptes 2023 natures'!N113/'4.1 Comptes 2023 natures'!N3</f>
        <v>0</v>
      </c>
      <c r="O113" s="13">
        <f>'4.1 Comptes 2023 natures'!O113/'4.1 Comptes 2023 natures'!O3</f>
        <v>0</v>
      </c>
      <c r="P113" s="13">
        <f>'4.1 Comptes 2023 natures'!P113/'4.1 Comptes 2023 natures'!P3</f>
        <v>0</v>
      </c>
      <c r="Q113" s="13">
        <f>'4.1 Comptes 2023 natures'!Q113/'4.1 Comptes 2023 natures'!Q3</f>
        <v>0</v>
      </c>
      <c r="R113" s="13">
        <f>'4.1 Comptes 2023 natures'!R113/'4.1 Comptes 2023 natures'!R3</f>
        <v>0</v>
      </c>
      <c r="S113" s="13">
        <f>'4.1 Comptes 2023 natures'!S113/'4.1 Comptes 2023 natures'!S3</f>
        <v>0</v>
      </c>
      <c r="T113" s="13">
        <f>'4.1 Comptes 2023 natures'!T113/'4.1 Comptes 2023 natures'!T3</f>
        <v>0</v>
      </c>
      <c r="U113" s="13">
        <f>'4.1 Comptes 2023 natures'!U113/'4.1 Comptes 2023 natures'!U3</f>
        <v>0</v>
      </c>
      <c r="V113" s="13">
        <f>'4.1 Comptes 2023 natures'!V113/'4.1 Comptes 2023 natures'!V3</f>
        <v>0</v>
      </c>
      <c r="W113" s="13">
        <f>'4.1 Comptes 2023 natures'!W113/'4.1 Comptes 2023 natures'!W3</f>
        <v>0</v>
      </c>
      <c r="X113" s="13">
        <f>'4.1 Comptes 2023 natures'!X113/'4.1 Comptes 2023 natures'!X3</f>
        <v>0</v>
      </c>
      <c r="Y113" s="13">
        <f>'4.1 Comptes 2023 natures'!Y113/'4.1 Comptes 2023 natures'!Y3</f>
        <v>0</v>
      </c>
      <c r="Z113" s="13">
        <f>'4.1 Comptes 2023 natures'!Z113/'4.1 Comptes 2023 natures'!Z3</f>
        <v>0</v>
      </c>
      <c r="AA113" s="13">
        <f>'4.1 Comptes 2023 natures'!AA113/'4.1 Comptes 2023 natures'!AA3</f>
        <v>0</v>
      </c>
      <c r="AB113" s="13">
        <f>'4.1 Comptes 2023 natures'!AB113/'4.1 Comptes 2023 natures'!AB3</f>
        <v>0</v>
      </c>
      <c r="AC113" s="13">
        <f>'4.1 Comptes 2023 natures'!AC113/'4.1 Comptes 2023 natures'!AC3</f>
        <v>0</v>
      </c>
      <c r="AD113" s="13">
        <f>'4.1 Comptes 2023 natures'!AD113/'4.1 Comptes 2023 natures'!AD3</f>
        <v>0</v>
      </c>
      <c r="AE113" s="13">
        <f>'4.1 Comptes 2023 natures'!AE113/'4.1 Comptes 2023 natures'!AE3</f>
        <v>0</v>
      </c>
      <c r="AF113" s="13">
        <f>'4.1 Comptes 2023 natures'!AF113/'4.1 Comptes 2023 natures'!AF3</f>
        <v>0</v>
      </c>
      <c r="AG113" s="13">
        <f>'4.1 Comptes 2023 natures'!AG113/'4.1 Comptes 2023 natures'!AG3</f>
        <v>0</v>
      </c>
      <c r="AH113" s="13">
        <f>'4.1 Comptes 2023 natures'!AH113/'4.1 Comptes 2023 natures'!AH3</f>
        <v>0</v>
      </c>
      <c r="AI113" s="13">
        <f>'4.1 Comptes 2023 natures'!AI113/'4.1 Comptes 2023 natures'!AI3</f>
        <v>0</v>
      </c>
      <c r="AJ113" s="13">
        <f>'4.1 Comptes 2023 natures'!AJ113/'4.1 Comptes 2023 natures'!AJ3</f>
        <v>0</v>
      </c>
      <c r="AK113" s="13">
        <f>'4.1 Comptes 2023 natures'!AK113/'4.1 Comptes 2023 natures'!AK3</f>
        <v>0</v>
      </c>
      <c r="AL113" s="13">
        <f>'4.1 Comptes 2023 natures'!AL113/'4.1 Comptes 2023 natures'!AL3</f>
        <v>0</v>
      </c>
      <c r="AM113" s="13">
        <f>'4.1 Comptes 2023 natures'!AM113/'4.1 Comptes 2023 natures'!AM3</f>
        <v>0</v>
      </c>
      <c r="AN113" s="13">
        <f>'4.1 Comptes 2023 natures'!AN113/'4.1 Comptes 2023 natures'!AN3</f>
        <v>0</v>
      </c>
      <c r="AO113" s="13">
        <f>'4.1 Comptes 2023 natures'!AO113/'4.1 Comptes 2023 natures'!AO3</f>
        <v>0</v>
      </c>
      <c r="AP113" s="13">
        <f>'4.1 Comptes 2023 natures'!AP113/'4.1 Comptes 2023 natures'!AP3</f>
        <v>0</v>
      </c>
      <c r="AQ113" s="13">
        <f>'4.1 Comptes 2023 natures'!AQ113/'4.1 Comptes 2023 natures'!AQ3</f>
        <v>0</v>
      </c>
      <c r="AR113" s="13">
        <f>'4.1 Comptes 2023 natures'!AR113/'4.1 Comptes 2023 natures'!AR3</f>
        <v>0</v>
      </c>
      <c r="AS113" s="13">
        <f>'4.1 Comptes 2023 natures'!AS113/'4.1 Comptes 2023 natures'!AS3</f>
        <v>0</v>
      </c>
      <c r="AT113" s="13">
        <f>'4.1 Comptes 2023 natures'!AT113/'4.1 Comptes 2023 natures'!AT3</f>
        <v>0</v>
      </c>
      <c r="AU113" s="13">
        <f>'4.1 Comptes 2023 natures'!AU113/'4.1 Comptes 2023 natures'!AU3</f>
        <v>0</v>
      </c>
      <c r="AV113" s="13">
        <f>'4.1 Comptes 2023 natures'!AV113/'4.1 Comptes 2023 natures'!AV3</f>
        <v>0</v>
      </c>
      <c r="AW113" s="13">
        <f>'4.1 Comptes 2023 natures'!AW113/'4.1 Comptes 2023 natures'!AW3</f>
        <v>0</v>
      </c>
      <c r="AX113" s="13">
        <f>'4.1 Comptes 2023 natures'!AX113/'4.1 Comptes 2023 natures'!AX3</f>
        <v>0</v>
      </c>
      <c r="AY113" s="13">
        <f>'4.1 Comptes 2023 natures'!AY113/'4.1 Comptes 2023 natures'!AY3</f>
        <v>0</v>
      </c>
      <c r="AZ113" s="13">
        <f>'4.1 Comptes 2023 natures'!AZ113/'4.1 Comptes 2023 natures'!AZ3</f>
        <v>0</v>
      </c>
      <c r="BA113" s="13">
        <f>'4.1 Comptes 2023 natures'!BA113/'4.1 Comptes 2023 natures'!BA3</f>
        <v>0</v>
      </c>
      <c r="BB113" s="13">
        <f>'4.1 Comptes 2023 natures'!BB113/'4.1 Comptes 2023 natures'!BB3</f>
        <v>0</v>
      </c>
      <c r="BC113" s="13">
        <f>'4.1 Comptes 2023 natures'!BC113/'4.1 Comptes 2023 natures'!BC3</f>
        <v>0</v>
      </c>
      <c r="BD113" s="13">
        <f>'4.1 Comptes 2023 natures'!BD113/'4.1 Comptes 2023 natures'!BD3</f>
        <v>0</v>
      </c>
      <c r="BE113" s="13">
        <f>'4.1 Comptes 2023 natures'!BE113/'4.1 Comptes 2023 natures'!BE3</f>
        <v>0</v>
      </c>
      <c r="BF113" s="13">
        <f>'4.1 Comptes 2023 natures'!BF113/'4.1 Comptes 2023 natures'!BF3</f>
        <v>0</v>
      </c>
      <c r="BG113" s="13">
        <f>'4.1 Comptes 2023 natures'!BG113/'4.1 Comptes 2023 natures'!BG3</f>
        <v>0</v>
      </c>
    </row>
    <row r="114" spans="2:59" x14ac:dyDescent="0.2">
      <c r="C114" s="8">
        <v>447</v>
      </c>
      <c r="D114" s="8" t="s">
        <v>165</v>
      </c>
      <c r="E114" s="13">
        <f>'4.1 Comptes 2023 natures'!E114/'4.1 Comptes 2023 natures'!E3</f>
        <v>1.0258064516129031</v>
      </c>
      <c r="F114" s="13">
        <f>'4.1 Comptes 2023 natures'!F114/'4.1 Comptes 2023 natures'!F3</f>
        <v>20.977011494252874</v>
      </c>
      <c r="G114" s="13">
        <f>'4.1 Comptes 2023 natures'!G114/'4.1 Comptes 2023 natures'!G3</f>
        <v>6.4979757085020244</v>
      </c>
      <c r="H114" s="13">
        <f>'4.1 Comptes 2023 natures'!H114/'4.1 Comptes 2023 natures'!H3</f>
        <v>114.14606741573034</v>
      </c>
      <c r="I114" s="13">
        <f>'4.1 Comptes 2023 natures'!I114/'4.1 Comptes 2023 natures'!I3</f>
        <v>20.42851377147532</v>
      </c>
      <c r="J114" s="13">
        <f>'4.1 Comptes 2023 natures'!J114/'4.1 Comptes 2023 natures'!J3</f>
        <v>26.106537102473499</v>
      </c>
      <c r="K114" s="13">
        <f>'4.1 Comptes 2023 natures'!K114/'4.1 Comptes 2023 natures'!K3</f>
        <v>41.783406754772393</v>
      </c>
      <c r="L114" s="13">
        <f>'4.1 Comptes 2023 natures'!L114/'4.1 Comptes 2023 natures'!L3</f>
        <v>128.75015699819451</v>
      </c>
      <c r="M114" s="13">
        <f>'4.1 Comptes 2023 natures'!M114/'4.1 Comptes 2023 natures'!M3</f>
        <v>16.22631195335277</v>
      </c>
      <c r="N114" s="13">
        <f>'4.1 Comptes 2023 natures'!N114/'4.1 Comptes 2023 natures'!N3</f>
        <v>0</v>
      </c>
      <c r="O114" s="13">
        <f>'4.1 Comptes 2023 natures'!O114/'4.1 Comptes 2023 natures'!O3</f>
        <v>48.589731051344742</v>
      </c>
      <c r="P114" s="13">
        <f>'4.1 Comptes 2023 natures'!P114/'4.1 Comptes 2023 natures'!P3</f>
        <v>80.336448598130843</v>
      </c>
      <c r="Q114" s="13">
        <f>'4.1 Comptes 2023 natures'!Q114/'4.1 Comptes 2023 natures'!Q3</f>
        <v>50.526785714285715</v>
      </c>
      <c r="R114" s="13">
        <f>'4.1 Comptes 2023 natures'!R114/'4.1 Comptes 2023 natures'!R3</f>
        <v>4.0169047619047618</v>
      </c>
      <c r="S114" s="13">
        <f>'4.1 Comptes 2023 natures'!S114/'4.1 Comptes 2023 natures'!S3</f>
        <v>14.398280802292264</v>
      </c>
      <c r="T114" s="13">
        <f>'4.1 Comptes 2023 natures'!T114/'4.1 Comptes 2023 natures'!T3</f>
        <v>8.2128240109140513</v>
      </c>
      <c r="U114" s="13">
        <f>'4.1 Comptes 2023 natures'!U114/'4.1 Comptes 2023 natures'!U3</f>
        <v>62.710622710622708</v>
      </c>
      <c r="V114" s="13">
        <f>'4.1 Comptes 2023 natures'!V114/'4.1 Comptes 2023 natures'!V3</f>
        <v>94.645475638051039</v>
      </c>
      <c r="W114" s="13">
        <f>'4.1 Comptes 2023 natures'!W114/'4.1 Comptes 2023 natures'!W3</f>
        <v>68.784001223615789</v>
      </c>
      <c r="X114" s="13">
        <f>'4.1 Comptes 2023 natures'!X114/'4.1 Comptes 2023 natures'!X3</f>
        <v>195.92786885245903</v>
      </c>
      <c r="Y114" s="13">
        <f>'4.1 Comptes 2023 natures'!Y114/'4.1 Comptes 2023 natures'!Y3</f>
        <v>19.747603833865814</v>
      </c>
      <c r="Z114" s="13">
        <f>'4.1 Comptes 2023 natures'!Z114/'4.1 Comptes 2023 natures'!Z3</f>
        <v>22.055146163215593</v>
      </c>
      <c r="AA114" s="13">
        <f>'4.1 Comptes 2023 natures'!AA114/'4.1 Comptes 2023 natures'!AA3</f>
        <v>0</v>
      </c>
      <c r="AB114" s="13">
        <f>'4.1 Comptes 2023 natures'!AB114/'4.1 Comptes 2023 natures'!AB3</f>
        <v>77.116470588235302</v>
      </c>
      <c r="AC114" s="13">
        <f>'4.1 Comptes 2023 natures'!AC114/'4.1 Comptes 2023 natures'!AC3</f>
        <v>100.71549295774648</v>
      </c>
      <c r="AD114" s="13">
        <f>'4.1 Comptes 2023 natures'!AD114/'4.1 Comptes 2023 natures'!AD3</f>
        <v>28.551236749116608</v>
      </c>
      <c r="AE114" s="13">
        <f>'4.1 Comptes 2023 natures'!AE114/'4.1 Comptes 2023 natures'!AE3</f>
        <v>217.32755905511809</v>
      </c>
      <c r="AF114" s="13">
        <f>'4.1 Comptes 2023 natures'!AF114/'4.1 Comptes 2023 natures'!AF3</f>
        <v>51.345733265201844</v>
      </c>
      <c r="AG114" s="13">
        <f>'4.1 Comptes 2023 natures'!AG114/'4.1 Comptes 2023 natures'!AG3</f>
        <v>85.586176012461053</v>
      </c>
      <c r="AH114" s="13">
        <f>'4.1 Comptes 2023 natures'!AH114/'4.1 Comptes 2023 natures'!AH3</f>
        <v>115.79414225941423</v>
      </c>
      <c r="AI114" s="13">
        <f>'4.1 Comptes 2023 natures'!AI114/'4.1 Comptes 2023 natures'!AI3</f>
        <v>0.96</v>
      </c>
      <c r="AJ114" s="13">
        <f>'4.1 Comptes 2023 natures'!AJ114/'4.1 Comptes 2023 natures'!AJ3</f>
        <v>64.271793392763499</v>
      </c>
      <c r="AK114" s="13">
        <f>'4.1 Comptes 2023 natures'!AK114/'4.1 Comptes 2023 natures'!AK3</f>
        <v>217.90485008818342</v>
      </c>
      <c r="AL114" s="13">
        <f>'4.1 Comptes 2023 natures'!AL114/'4.1 Comptes 2023 natures'!AL3</f>
        <v>47.063175394846219</v>
      </c>
      <c r="AM114" s="13">
        <f>'4.1 Comptes 2023 natures'!AM114/'4.1 Comptes 2023 natures'!AM3</f>
        <v>102.37232142857144</v>
      </c>
      <c r="AN114" s="13">
        <f>'4.1 Comptes 2023 natures'!AN114/'4.1 Comptes 2023 natures'!AN3</f>
        <v>37.067847993168229</v>
      </c>
      <c r="AO114" s="13">
        <f>'4.1 Comptes 2023 natures'!AO114/'4.1 Comptes 2023 natures'!AO3</f>
        <v>106.16190839694657</v>
      </c>
      <c r="AP114" s="13">
        <f>'4.1 Comptes 2023 natures'!AP114/'4.1 Comptes 2023 natures'!AP3</f>
        <v>185.46561014263074</v>
      </c>
      <c r="AQ114" s="13">
        <f>'4.1 Comptes 2023 natures'!AQ114/'4.1 Comptes 2023 natures'!AQ3</f>
        <v>137.64977588871716</v>
      </c>
      <c r="AR114" s="13">
        <f>'4.1 Comptes 2023 natures'!AR114/'4.1 Comptes 2023 natures'!AR3</f>
        <v>55.519556171983353</v>
      </c>
      <c r="AS114" s="13">
        <f>'4.1 Comptes 2023 natures'!AS114/'4.1 Comptes 2023 natures'!AS3</f>
        <v>62.101933962264155</v>
      </c>
      <c r="AT114" s="13">
        <f>'4.1 Comptes 2023 natures'!AT114/'4.1 Comptes 2023 natures'!AT3</f>
        <v>38.789808917197455</v>
      </c>
      <c r="AU114" s="13">
        <f>'4.1 Comptes 2023 natures'!AU114/'4.1 Comptes 2023 natures'!AU3</f>
        <v>34.872584590297592</v>
      </c>
      <c r="AV114" s="13">
        <f>'4.1 Comptes 2023 natures'!AV114/'4.1 Comptes 2023 natures'!AV3</f>
        <v>17.015503875968992</v>
      </c>
      <c r="AW114" s="13">
        <f>'4.1 Comptes 2023 natures'!AW114/'4.1 Comptes 2023 natures'!AW3</f>
        <v>51.937603305785117</v>
      </c>
      <c r="AX114" s="13">
        <f>'4.1 Comptes 2023 natures'!AX114/'4.1 Comptes 2023 natures'!AX3</f>
        <v>66.75060240963856</v>
      </c>
      <c r="AY114" s="13">
        <f>'4.1 Comptes 2023 natures'!AY114/'4.1 Comptes 2023 natures'!AY3</f>
        <v>19.310868245294476</v>
      </c>
      <c r="AZ114" s="13">
        <f>'4.1 Comptes 2023 natures'!AZ114/'4.1 Comptes 2023 natures'!AZ3</f>
        <v>4.6850393700787398</v>
      </c>
      <c r="BA114" s="13">
        <f>'4.1 Comptes 2023 natures'!BA114/'4.1 Comptes 2023 natures'!BA3</f>
        <v>172.20496688741721</v>
      </c>
      <c r="BB114" s="13">
        <f>'4.1 Comptes 2023 natures'!BB114/'4.1 Comptes 2023 natures'!BB3</f>
        <v>156.97797000454477</v>
      </c>
      <c r="BC114" s="13">
        <f>'4.1 Comptes 2023 natures'!BC114/'4.1 Comptes 2023 natures'!BC3</f>
        <v>31.549360146252287</v>
      </c>
      <c r="BD114" s="13">
        <f>'4.1 Comptes 2023 natures'!BD114/'4.1 Comptes 2023 natures'!BD3</f>
        <v>77.546911520094426</v>
      </c>
      <c r="BE114" s="13">
        <f>'4.1 Comptes 2023 natures'!BE114/'4.1 Comptes 2023 natures'!BE3</f>
        <v>68.132110690872423</v>
      </c>
      <c r="BF114" s="13">
        <f>'4.1 Comptes 2023 natures'!BF114/'4.1 Comptes 2023 natures'!BF3</f>
        <v>67.055365112524925</v>
      </c>
      <c r="BG114" s="13">
        <f>'4.1 Comptes 2023 natures'!BG114/'4.1 Comptes 2023 natures'!BG3</f>
        <v>97.41296547193825</v>
      </c>
    </row>
    <row r="115" spans="2:59" x14ac:dyDescent="0.2">
      <c r="C115" s="8">
        <v>448</v>
      </c>
      <c r="D115" s="8" t="s">
        <v>166</v>
      </c>
      <c r="E115" s="13">
        <f>'4.1 Comptes 2023 natures'!E115/'4.1 Comptes 2023 natures'!E3</f>
        <v>0</v>
      </c>
      <c r="F115" s="13">
        <f>'4.1 Comptes 2023 natures'!F115/'4.1 Comptes 2023 natures'!F3</f>
        <v>0</v>
      </c>
      <c r="G115" s="13">
        <f>'4.1 Comptes 2023 natures'!G115/'4.1 Comptes 2023 natures'!G3</f>
        <v>0</v>
      </c>
      <c r="H115" s="13">
        <f>'4.1 Comptes 2023 natures'!H115/'4.1 Comptes 2023 natures'!H3</f>
        <v>0</v>
      </c>
      <c r="I115" s="13">
        <f>'4.1 Comptes 2023 natures'!I115/'4.1 Comptes 2023 natures'!I3</f>
        <v>0</v>
      </c>
      <c r="J115" s="13">
        <f>'4.1 Comptes 2023 natures'!J115/'4.1 Comptes 2023 natures'!J3</f>
        <v>0</v>
      </c>
      <c r="K115" s="13">
        <f>'4.1 Comptes 2023 natures'!K115/'4.1 Comptes 2023 natures'!K3</f>
        <v>0</v>
      </c>
      <c r="L115" s="13">
        <f>'4.1 Comptes 2023 natures'!L115/'4.1 Comptes 2023 natures'!L3</f>
        <v>0</v>
      </c>
      <c r="M115" s="13">
        <f>'4.1 Comptes 2023 natures'!M115/'4.1 Comptes 2023 natures'!M3</f>
        <v>0</v>
      </c>
      <c r="N115" s="13">
        <f>'4.1 Comptes 2023 natures'!N115/'4.1 Comptes 2023 natures'!N3</f>
        <v>0</v>
      </c>
      <c r="O115" s="13">
        <f>'4.1 Comptes 2023 natures'!O115/'4.1 Comptes 2023 natures'!O3</f>
        <v>0</v>
      </c>
      <c r="P115" s="13">
        <f>'4.1 Comptes 2023 natures'!P115/'4.1 Comptes 2023 natures'!P3</f>
        <v>0</v>
      </c>
      <c r="Q115" s="13">
        <f>'4.1 Comptes 2023 natures'!Q115/'4.1 Comptes 2023 natures'!Q3</f>
        <v>0</v>
      </c>
      <c r="R115" s="13">
        <f>'4.1 Comptes 2023 natures'!R115/'4.1 Comptes 2023 natures'!R3</f>
        <v>0</v>
      </c>
      <c r="S115" s="13">
        <f>'4.1 Comptes 2023 natures'!S115/'4.1 Comptes 2023 natures'!S3</f>
        <v>0</v>
      </c>
      <c r="T115" s="13">
        <f>'4.1 Comptes 2023 natures'!T115/'4.1 Comptes 2023 natures'!T3</f>
        <v>0</v>
      </c>
      <c r="U115" s="13">
        <f>'4.1 Comptes 2023 natures'!U115/'4.1 Comptes 2023 natures'!U3</f>
        <v>0</v>
      </c>
      <c r="V115" s="13">
        <f>'4.1 Comptes 2023 natures'!V115/'4.1 Comptes 2023 natures'!V3</f>
        <v>0</v>
      </c>
      <c r="W115" s="13">
        <f>'4.1 Comptes 2023 natures'!W115/'4.1 Comptes 2023 natures'!W3</f>
        <v>0</v>
      </c>
      <c r="X115" s="13">
        <f>'4.1 Comptes 2023 natures'!X115/'4.1 Comptes 2023 natures'!X3</f>
        <v>0.49180327868852458</v>
      </c>
      <c r="Y115" s="13">
        <f>'4.1 Comptes 2023 natures'!Y115/'4.1 Comptes 2023 natures'!Y3</f>
        <v>0</v>
      </c>
      <c r="Z115" s="13">
        <f>'4.1 Comptes 2023 natures'!Z115/'4.1 Comptes 2023 natures'!Z3</f>
        <v>0</v>
      </c>
      <c r="AA115" s="13">
        <f>'4.1 Comptes 2023 natures'!AA115/'4.1 Comptes 2023 natures'!AA3</f>
        <v>0</v>
      </c>
      <c r="AB115" s="13">
        <f>'4.1 Comptes 2023 natures'!AB115/'4.1 Comptes 2023 natures'!AB3</f>
        <v>0</v>
      </c>
      <c r="AC115" s="13">
        <f>'4.1 Comptes 2023 natures'!AC115/'4.1 Comptes 2023 natures'!AC3</f>
        <v>0</v>
      </c>
      <c r="AD115" s="13">
        <f>'4.1 Comptes 2023 natures'!AD115/'4.1 Comptes 2023 natures'!AD3</f>
        <v>0</v>
      </c>
      <c r="AE115" s="13">
        <f>'4.1 Comptes 2023 natures'!AE115/'4.1 Comptes 2023 natures'!AE3</f>
        <v>0</v>
      </c>
      <c r="AF115" s="13">
        <f>'4.1 Comptes 2023 natures'!AF115/'4.1 Comptes 2023 natures'!AF3</f>
        <v>0</v>
      </c>
      <c r="AG115" s="13">
        <f>'4.1 Comptes 2023 natures'!AG115/'4.1 Comptes 2023 natures'!AG3</f>
        <v>0</v>
      </c>
      <c r="AH115" s="13">
        <f>'4.1 Comptes 2023 natures'!AH115/'4.1 Comptes 2023 natures'!AH3</f>
        <v>0</v>
      </c>
      <c r="AI115" s="13">
        <f>'4.1 Comptes 2023 natures'!AI115/'4.1 Comptes 2023 natures'!AI3</f>
        <v>0</v>
      </c>
      <c r="AJ115" s="13">
        <f>'4.1 Comptes 2023 natures'!AJ115/'4.1 Comptes 2023 natures'!AJ3</f>
        <v>0</v>
      </c>
      <c r="AK115" s="13">
        <f>'4.1 Comptes 2023 natures'!AK115/'4.1 Comptes 2023 natures'!AK3</f>
        <v>0</v>
      </c>
      <c r="AL115" s="13">
        <f>'4.1 Comptes 2023 natures'!AL115/'4.1 Comptes 2023 natures'!AL3</f>
        <v>0</v>
      </c>
      <c r="AM115" s="13">
        <f>'4.1 Comptes 2023 natures'!AM115/'4.1 Comptes 2023 natures'!AM3</f>
        <v>0</v>
      </c>
      <c r="AN115" s="13">
        <f>'4.1 Comptes 2023 natures'!AN115/'4.1 Comptes 2023 natures'!AN3</f>
        <v>0</v>
      </c>
      <c r="AO115" s="13">
        <f>'4.1 Comptes 2023 natures'!AO115/'4.1 Comptes 2023 natures'!AO3</f>
        <v>0</v>
      </c>
      <c r="AP115" s="13">
        <f>'4.1 Comptes 2023 natures'!AP115/'4.1 Comptes 2023 natures'!AP3</f>
        <v>0</v>
      </c>
      <c r="AQ115" s="13">
        <f>'4.1 Comptes 2023 natures'!AQ115/'4.1 Comptes 2023 natures'!AQ3</f>
        <v>0</v>
      </c>
      <c r="AR115" s="13">
        <f>'4.1 Comptes 2023 natures'!AR115/'4.1 Comptes 2023 natures'!AR3</f>
        <v>0</v>
      </c>
      <c r="AS115" s="13">
        <f>'4.1 Comptes 2023 natures'!AS115/'4.1 Comptes 2023 natures'!AS3</f>
        <v>0</v>
      </c>
      <c r="AT115" s="13">
        <f>'4.1 Comptes 2023 natures'!AT115/'4.1 Comptes 2023 natures'!AT3</f>
        <v>0</v>
      </c>
      <c r="AU115" s="13">
        <f>'4.1 Comptes 2023 natures'!AU115/'4.1 Comptes 2023 natures'!AU3</f>
        <v>0</v>
      </c>
      <c r="AV115" s="13">
        <f>'4.1 Comptes 2023 natures'!AV115/'4.1 Comptes 2023 natures'!AV3</f>
        <v>0</v>
      </c>
      <c r="AW115" s="13">
        <f>'4.1 Comptes 2023 natures'!AW115/'4.1 Comptes 2023 natures'!AW3</f>
        <v>0</v>
      </c>
      <c r="AX115" s="13">
        <f>'4.1 Comptes 2023 natures'!AX115/'4.1 Comptes 2023 natures'!AX3</f>
        <v>0</v>
      </c>
      <c r="AY115" s="13">
        <f>'4.1 Comptes 2023 natures'!AY115/'4.1 Comptes 2023 natures'!AY3</f>
        <v>0</v>
      </c>
      <c r="AZ115" s="13">
        <f>'4.1 Comptes 2023 natures'!AZ115/'4.1 Comptes 2023 natures'!AZ3</f>
        <v>0</v>
      </c>
      <c r="BA115" s="13">
        <f>'4.1 Comptes 2023 natures'!BA115/'4.1 Comptes 2023 natures'!BA3</f>
        <v>0</v>
      </c>
      <c r="BB115" s="13">
        <f>'4.1 Comptes 2023 natures'!BB115/'4.1 Comptes 2023 natures'!BB3</f>
        <v>0</v>
      </c>
      <c r="BC115" s="13">
        <f>'4.1 Comptes 2023 natures'!BC115/'4.1 Comptes 2023 natures'!BC3</f>
        <v>0</v>
      </c>
      <c r="BD115" s="13">
        <f>'4.1 Comptes 2023 natures'!BD115/'4.1 Comptes 2023 natures'!BD3</f>
        <v>2.0121264151955788E-3</v>
      </c>
      <c r="BE115" s="13">
        <f>'4.1 Comptes 2023 natures'!BE115/'4.1 Comptes 2023 natures'!BE3</f>
        <v>0</v>
      </c>
      <c r="BF115" s="13">
        <f>'4.1 Comptes 2023 natures'!BF115/'4.1 Comptes 2023 natures'!BF3</f>
        <v>1.4243661570601083E-2</v>
      </c>
      <c r="BG115" s="13">
        <f>'4.1 Comptes 2023 natures'!BG115/'4.1 Comptes 2023 natures'!BG3</f>
        <v>0</v>
      </c>
    </row>
    <row r="116" spans="2:59" x14ac:dyDescent="0.2">
      <c r="C116" s="8">
        <v>449</v>
      </c>
      <c r="D116" s="8" t="s">
        <v>167</v>
      </c>
      <c r="E116" s="13">
        <f>'4.1 Comptes 2023 natures'!E116/'4.1 Comptes 2023 natures'!E3</f>
        <v>0</v>
      </c>
      <c r="F116" s="13">
        <f>'4.1 Comptes 2023 natures'!F116/'4.1 Comptes 2023 natures'!F3</f>
        <v>0</v>
      </c>
      <c r="G116" s="13">
        <f>'4.1 Comptes 2023 natures'!G116/'4.1 Comptes 2023 natures'!G3</f>
        <v>0</v>
      </c>
      <c r="H116" s="13">
        <f>'4.1 Comptes 2023 natures'!H116/'4.1 Comptes 2023 natures'!H3</f>
        <v>0</v>
      </c>
      <c r="I116" s="13">
        <f>'4.1 Comptes 2023 natures'!I116/'4.1 Comptes 2023 natures'!I3</f>
        <v>0</v>
      </c>
      <c r="J116" s="13">
        <f>'4.1 Comptes 2023 natures'!J116/'4.1 Comptes 2023 natures'!J3</f>
        <v>0</v>
      </c>
      <c r="K116" s="13">
        <f>'4.1 Comptes 2023 natures'!K116/'4.1 Comptes 2023 natures'!K3</f>
        <v>0</v>
      </c>
      <c r="L116" s="13">
        <f>'4.1 Comptes 2023 natures'!L116/'4.1 Comptes 2023 natures'!L3</f>
        <v>0</v>
      </c>
      <c r="M116" s="13">
        <f>'4.1 Comptes 2023 natures'!M116/'4.1 Comptes 2023 natures'!M3</f>
        <v>0</v>
      </c>
      <c r="N116" s="13">
        <f>'4.1 Comptes 2023 natures'!N116/'4.1 Comptes 2023 natures'!N3</f>
        <v>0</v>
      </c>
      <c r="O116" s="13">
        <f>'4.1 Comptes 2023 natures'!O116/'4.1 Comptes 2023 natures'!O3</f>
        <v>0.21278185275740288</v>
      </c>
      <c r="P116" s="13">
        <f>'4.1 Comptes 2023 natures'!P116/'4.1 Comptes 2023 natures'!P3</f>
        <v>0</v>
      </c>
      <c r="Q116" s="13">
        <f>'4.1 Comptes 2023 natures'!Q116/'4.1 Comptes 2023 natures'!Q3</f>
        <v>0</v>
      </c>
      <c r="R116" s="13">
        <f>'4.1 Comptes 2023 natures'!R116/'4.1 Comptes 2023 natures'!R3</f>
        <v>0</v>
      </c>
      <c r="S116" s="13">
        <f>'4.1 Comptes 2023 natures'!S116/'4.1 Comptes 2023 natures'!S3</f>
        <v>0</v>
      </c>
      <c r="T116" s="13">
        <f>'4.1 Comptes 2023 natures'!T116/'4.1 Comptes 2023 natures'!T3</f>
        <v>0</v>
      </c>
      <c r="U116" s="13">
        <f>'4.1 Comptes 2023 natures'!U116/'4.1 Comptes 2023 natures'!U3</f>
        <v>0</v>
      </c>
      <c r="V116" s="13">
        <f>'4.1 Comptes 2023 natures'!V116/'4.1 Comptes 2023 natures'!V3</f>
        <v>0</v>
      </c>
      <c r="W116" s="13">
        <f>'4.1 Comptes 2023 natures'!W116/'4.1 Comptes 2023 natures'!W3</f>
        <v>0</v>
      </c>
      <c r="X116" s="13">
        <f>'4.1 Comptes 2023 natures'!X116/'4.1 Comptes 2023 natures'!X3</f>
        <v>0</v>
      </c>
      <c r="Y116" s="13">
        <f>'4.1 Comptes 2023 natures'!Y116/'4.1 Comptes 2023 natures'!Y3</f>
        <v>0</v>
      </c>
      <c r="Z116" s="13">
        <f>'4.1 Comptes 2023 natures'!Z116/'4.1 Comptes 2023 natures'!Z3</f>
        <v>0</v>
      </c>
      <c r="AA116" s="13">
        <f>'4.1 Comptes 2023 natures'!AA116/'4.1 Comptes 2023 natures'!AA3</f>
        <v>0</v>
      </c>
      <c r="AB116" s="13">
        <f>'4.1 Comptes 2023 natures'!AB116/'4.1 Comptes 2023 natures'!AB3</f>
        <v>0</v>
      </c>
      <c r="AC116" s="13">
        <f>'4.1 Comptes 2023 natures'!AC116/'4.1 Comptes 2023 natures'!AC3</f>
        <v>0</v>
      </c>
      <c r="AD116" s="13">
        <f>'4.1 Comptes 2023 natures'!AD116/'4.1 Comptes 2023 natures'!AD3</f>
        <v>0</v>
      </c>
      <c r="AE116" s="13">
        <f>'4.1 Comptes 2023 natures'!AE116/'4.1 Comptes 2023 natures'!AE3</f>
        <v>0</v>
      </c>
      <c r="AF116" s="13">
        <f>'4.1 Comptes 2023 natures'!AF116/'4.1 Comptes 2023 natures'!AF3</f>
        <v>1.6285130301481862E-2</v>
      </c>
      <c r="AG116" s="13">
        <f>'4.1 Comptes 2023 natures'!AG116/'4.1 Comptes 2023 natures'!AG3</f>
        <v>0</v>
      </c>
      <c r="AH116" s="13">
        <f>'4.1 Comptes 2023 natures'!AH116/'4.1 Comptes 2023 natures'!AH3</f>
        <v>0</v>
      </c>
      <c r="AI116" s="13">
        <f>'4.1 Comptes 2023 natures'!AI116/'4.1 Comptes 2023 natures'!AI3</f>
        <v>55.36</v>
      </c>
      <c r="AJ116" s="13">
        <f>'4.1 Comptes 2023 natures'!AJ116/'4.1 Comptes 2023 natures'!AJ3</f>
        <v>0</v>
      </c>
      <c r="AK116" s="13">
        <f>'4.1 Comptes 2023 natures'!AK116/'4.1 Comptes 2023 natures'!AK3</f>
        <v>0.79365079365079361</v>
      </c>
      <c r="AL116" s="13">
        <f>'4.1 Comptes 2023 natures'!AL116/'4.1 Comptes 2023 natures'!AL3</f>
        <v>0</v>
      </c>
      <c r="AM116" s="13">
        <f>'4.1 Comptes 2023 natures'!AM116/'4.1 Comptes 2023 natures'!AM3</f>
        <v>0</v>
      </c>
      <c r="AN116" s="13">
        <f>'4.1 Comptes 2023 natures'!AN116/'4.1 Comptes 2023 natures'!AN3</f>
        <v>0</v>
      </c>
      <c r="AO116" s="13">
        <f>'4.1 Comptes 2023 natures'!AO116/'4.1 Comptes 2023 natures'!AO3</f>
        <v>0</v>
      </c>
      <c r="AP116" s="13">
        <f>'4.1 Comptes 2023 natures'!AP116/'4.1 Comptes 2023 natures'!AP3</f>
        <v>20.522979397781299</v>
      </c>
      <c r="AQ116" s="13">
        <f>'4.1 Comptes 2023 natures'!AQ116/'4.1 Comptes 2023 natures'!AQ3</f>
        <v>0</v>
      </c>
      <c r="AR116" s="13">
        <f>'4.1 Comptes 2023 natures'!AR116/'4.1 Comptes 2023 natures'!AR3</f>
        <v>0</v>
      </c>
      <c r="AS116" s="13">
        <f>'4.1 Comptes 2023 natures'!AS116/'4.1 Comptes 2023 natures'!AS3</f>
        <v>0</v>
      </c>
      <c r="AT116" s="13">
        <f>'4.1 Comptes 2023 natures'!AT116/'4.1 Comptes 2023 natures'!AT3</f>
        <v>0</v>
      </c>
      <c r="AU116" s="13">
        <f>'4.1 Comptes 2023 natures'!AU116/'4.1 Comptes 2023 natures'!AU3</f>
        <v>0.7006074194863432</v>
      </c>
      <c r="AV116" s="13">
        <f>'4.1 Comptes 2023 natures'!AV116/'4.1 Comptes 2023 natures'!AV3</f>
        <v>0</v>
      </c>
      <c r="AW116" s="13">
        <f>'4.1 Comptes 2023 natures'!AW116/'4.1 Comptes 2023 natures'!AW3</f>
        <v>0</v>
      </c>
      <c r="AX116" s="13">
        <f>'4.1 Comptes 2023 natures'!AX116/'4.1 Comptes 2023 natures'!AX3</f>
        <v>0</v>
      </c>
      <c r="AY116" s="13">
        <f>'4.1 Comptes 2023 natures'!AY116/'4.1 Comptes 2023 natures'!AY3</f>
        <v>0</v>
      </c>
      <c r="AZ116" s="13">
        <f>'4.1 Comptes 2023 natures'!AZ116/'4.1 Comptes 2023 natures'!AZ3</f>
        <v>0</v>
      </c>
      <c r="BA116" s="13">
        <f>'4.1 Comptes 2023 natures'!BA116/'4.1 Comptes 2023 natures'!BA3</f>
        <v>0</v>
      </c>
      <c r="BB116" s="13">
        <f>'4.1 Comptes 2023 natures'!BB116/'4.1 Comptes 2023 natures'!BB3</f>
        <v>0</v>
      </c>
      <c r="BC116" s="13">
        <f>'4.1 Comptes 2023 natures'!BC116/'4.1 Comptes 2023 natures'!BC3</f>
        <v>0</v>
      </c>
      <c r="BD116" s="13">
        <f>'4.1 Comptes 2023 natures'!BD116/'4.1 Comptes 2023 natures'!BD3</f>
        <v>0.32310672318506195</v>
      </c>
      <c r="BE116" s="13">
        <f>'4.1 Comptes 2023 natures'!BE116/'4.1 Comptes 2023 natures'!BE3</f>
        <v>3.9498234997478565E-2</v>
      </c>
      <c r="BF116" s="13">
        <f>'4.1 Comptes 2023 natures'!BF116/'4.1 Comptes 2023 natures'!BF3</f>
        <v>0.66013389041876369</v>
      </c>
      <c r="BG116" s="13">
        <f>'4.1 Comptes 2023 natures'!BG116/'4.1 Comptes 2023 natures'!BG3</f>
        <v>0.63918339697007021</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13.485483870967741</v>
      </c>
      <c r="F118" s="78">
        <f t="shared" ref="F118:BG118" si="20">F119+F120</f>
        <v>0</v>
      </c>
      <c r="G118" s="78">
        <f t="shared" si="20"/>
        <v>25.117813765182188</v>
      </c>
      <c r="H118" s="78">
        <f t="shared" si="20"/>
        <v>91.767415730337078</v>
      </c>
      <c r="I118" s="78">
        <f t="shared" si="20"/>
        <v>50.290509953640573</v>
      </c>
      <c r="J118" s="78">
        <f t="shared" si="20"/>
        <v>25.793589517078917</v>
      </c>
      <c r="K118" s="78">
        <f t="shared" si="20"/>
        <v>26.262812041116007</v>
      </c>
      <c r="L118" s="78">
        <f t="shared" si="20"/>
        <v>24.812371457728236</v>
      </c>
      <c r="M118" s="78">
        <f t="shared" si="20"/>
        <v>207.00581632653063</v>
      </c>
      <c r="N118" s="78">
        <f t="shared" si="20"/>
        <v>0</v>
      </c>
      <c r="O118" s="78">
        <f t="shared" si="20"/>
        <v>47.405127682694918</v>
      </c>
      <c r="P118" s="78">
        <f t="shared" si="20"/>
        <v>0</v>
      </c>
      <c r="Q118" s="78">
        <f t="shared" si="20"/>
        <v>22.405357142857145</v>
      </c>
      <c r="R118" s="78">
        <f t="shared" si="20"/>
        <v>21.862119047619046</v>
      </c>
      <c r="S118" s="78">
        <f t="shared" si="20"/>
        <v>119.56014326647565</v>
      </c>
      <c r="T118" s="78">
        <f t="shared" si="20"/>
        <v>43.08233287858117</v>
      </c>
      <c r="U118" s="78">
        <f t="shared" si="20"/>
        <v>2.5054945054945055</v>
      </c>
      <c r="V118" s="78">
        <f t="shared" si="20"/>
        <v>0</v>
      </c>
      <c r="W118" s="78">
        <f t="shared" si="20"/>
        <v>2.5474915876414808</v>
      </c>
      <c r="X118" s="78">
        <f t="shared" si="20"/>
        <v>0</v>
      </c>
      <c r="Y118" s="78">
        <f t="shared" si="20"/>
        <v>4.9354632587859424</v>
      </c>
      <c r="Z118" s="78">
        <f t="shared" si="20"/>
        <v>7.9761875761266747</v>
      </c>
      <c r="AA118" s="78">
        <f t="shared" si="20"/>
        <v>2.6758389261744964</v>
      </c>
      <c r="AB118" s="78">
        <f t="shared" si="20"/>
        <v>2.5193137254901958</v>
      </c>
      <c r="AC118" s="78">
        <f t="shared" si="20"/>
        <v>65.311478873239437</v>
      </c>
      <c r="AD118" s="78">
        <f t="shared" si="20"/>
        <v>2.4350706713780919</v>
      </c>
      <c r="AE118" s="78">
        <f t="shared" si="20"/>
        <v>90.20108267716536</v>
      </c>
      <c r="AF118" s="78">
        <f t="shared" si="20"/>
        <v>64.451762902401626</v>
      </c>
      <c r="AG118" s="78">
        <f t="shared" si="20"/>
        <v>2.5299454828660433</v>
      </c>
      <c r="AH118" s="78">
        <f t="shared" si="20"/>
        <v>69.229748953974905</v>
      </c>
      <c r="AI118" s="78">
        <f t="shared" si="20"/>
        <v>0</v>
      </c>
      <c r="AJ118" s="78">
        <f t="shared" si="20"/>
        <v>0</v>
      </c>
      <c r="AK118" s="78">
        <f t="shared" si="20"/>
        <v>11.55015873015873</v>
      </c>
      <c r="AL118" s="78">
        <f t="shared" si="20"/>
        <v>0</v>
      </c>
      <c r="AM118" s="78">
        <f t="shared" si="20"/>
        <v>2.6446428571428569</v>
      </c>
      <c r="AN118" s="78">
        <f t="shared" si="20"/>
        <v>6.9694278394534583</v>
      </c>
      <c r="AO118" s="78">
        <f t="shared" si="20"/>
        <v>13.248396946564887</v>
      </c>
      <c r="AP118" s="78">
        <f t="shared" si="20"/>
        <v>0</v>
      </c>
      <c r="AQ118" s="78">
        <f t="shared" si="20"/>
        <v>80.14385625965997</v>
      </c>
      <c r="AR118" s="78">
        <f t="shared" si="20"/>
        <v>81.805062413314843</v>
      </c>
      <c r="AS118" s="78">
        <f t="shared" si="20"/>
        <v>38.889905660377359</v>
      </c>
      <c r="AT118" s="78">
        <f t="shared" si="20"/>
        <v>2.859076433121019</v>
      </c>
      <c r="AU118" s="78">
        <f t="shared" si="20"/>
        <v>91.254614757439867</v>
      </c>
      <c r="AV118" s="78">
        <f t="shared" si="20"/>
        <v>2.6018087855297156</v>
      </c>
      <c r="AW118" s="78">
        <f t="shared" si="20"/>
        <v>269.20289256198345</v>
      </c>
      <c r="AX118" s="78">
        <f t="shared" si="20"/>
        <v>2.5293674698795181</v>
      </c>
      <c r="AY118" s="78">
        <f t="shared" si="20"/>
        <v>2.5653916211293257</v>
      </c>
      <c r="AZ118" s="78">
        <f t="shared" si="20"/>
        <v>226.45023622047242</v>
      </c>
      <c r="BA118" s="78">
        <f t="shared" si="20"/>
        <v>99.956007568590351</v>
      </c>
      <c r="BB118" s="78">
        <f t="shared" si="20"/>
        <v>35.284308438115438</v>
      </c>
      <c r="BC118" s="78">
        <f t="shared" si="20"/>
        <v>0.21937842778793418</v>
      </c>
      <c r="BD118" s="78">
        <f t="shared" si="20"/>
        <v>36.288221816816005</v>
      </c>
      <c r="BE118" s="78">
        <f t="shared" si="20"/>
        <v>36.632801059001515</v>
      </c>
      <c r="BF118" s="78">
        <f t="shared" si="20"/>
        <v>25.040937232931345</v>
      </c>
      <c r="BG118" s="78">
        <f t="shared" si="20"/>
        <v>40.590029970850267</v>
      </c>
    </row>
    <row r="119" spans="2:59" x14ac:dyDescent="0.2">
      <c r="C119" s="8">
        <v>450</v>
      </c>
      <c r="D119" s="8" t="s">
        <v>168</v>
      </c>
      <c r="E119" s="13">
        <f>'4.1 Comptes 2023 natures'!E119/'4.1 Comptes 2023 natures'!E3</f>
        <v>5.629032258064516</v>
      </c>
      <c r="F119" s="13">
        <f>'4.1 Comptes 2023 natures'!F119/'4.1 Comptes 2023 natures'!F3</f>
        <v>0</v>
      </c>
      <c r="G119" s="13">
        <f>'4.1 Comptes 2023 natures'!G119/'4.1 Comptes 2023 natures'!G3</f>
        <v>2.4156882591093116</v>
      </c>
      <c r="H119" s="13">
        <f>'4.1 Comptes 2023 natures'!H119/'4.1 Comptes 2023 natures'!H3</f>
        <v>0</v>
      </c>
      <c r="I119" s="13">
        <f>'4.1 Comptes 2023 natures'!I119/'4.1 Comptes 2023 natures'!I3</f>
        <v>2.5028088355604035</v>
      </c>
      <c r="J119" s="13">
        <f>'4.1 Comptes 2023 natures'!J119/'4.1 Comptes 2023 natures'!J3</f>
        <v>3.239193168433451</v>
      </c>
      <c r="K119" s="13">
        <f>'4.1 Comptes 2023 natures'!K119/'4.1 Comptes 2023 natures'!K3</f>
        <v>16.260003671071953</v>
      </c>
      <c r="L119" s="13">
        <f>'4.1 Comptes 2023 natures'!L119/'4.1 Comptes 2023 natures'!L3</f>
        <v>24.812371457728236</v>
      </c>
      <c r="M119" s="13">
        <f>'4.1 Comptes 2023 natures'!M119/'4.1 Comptes 2023 natures'!M3</f>
        <v>2.5061588921282798</v>
      </c>
      <c r="N119" s="13">
        <f>'4.1 Comptes 2023 natures'!N119/'4.1 Comptes 2023 natures'!N3</f>
        <v>0</v>
      </c>
      <c r="O119" s="13">
        <f>'4.1 Comptes 2023 natures'!O119/'4.1 Comptes 2023 natures'!O3</f>
        <v>2.5054944308611793</v>
      </c>
      <c r="P119" s="13">
        <f>'4.1 Comptes 2023 natures'!P119/'4.1 Comptes 2023 natures'!P3</f>
        <v>0</v>
      </c>
      <c r="Q119" s="13">
        <f>'4.1 Comptes 2023 natures'!Q119/'4.1 Comptes 2023 natures'!Q3</f>
        <v>0</v>
      </c>
      <c r="R119" s="13">
        <f>'4.1 Comptes 2023 natures'!R119/'4.1 Comptes 2023 natures'!R3</f>
        <v>2.5663095238095237</v>
      </c>
      <c r="S119" s="13">
        <f>'4.1 Comptes 2023 natures'!S119/'4.1 Comptes 2023 natures'!S3</f>
        <v>2.5442693409742123</v>
      </c>
      <c r="T119" s="13">
        <f>'4.1 Comptes 2023 natures'!T119/'4.1 Comptes 2023 natures'!T3</f>
        <v>2.538199181446112</v>
      </c>
      <c r="U119" s="13">
        <f>'4.1 Comptes 2023 natures'!U119/'4.1 Comptes 2023 natures'!U3</f>
        <v>2.5054945054945055</v>
      </c>
      <c r="V119" s="13">
        <f>'4.1 Comptes 2023 natures'!V119/'4.1 Comptes 2023 natures'!V3</f>
        <v>0</v>
      </c>
      <c r="W119" s="13">
        <f>'4.1 Comptes 2023 natures'!W119/'4.1 Comptes 2023 natures'!W3</f>
        <v>2.5474915876414808</v>
      </c>
      <c r="X119" s="13">
        <f>'4.1 Comptes 2023 natures'!X119/'4.1 Comptes 2023 natures'!X3</f>
        <v>0</v>
      </c>
      <c r="Y119" s="13">
        <f>'4.1 Comptes 2023 natures'!Y119/'4.1 Comptes 2023 natures'!Y3</f>
        <v>4.9354632587859424</v>
      </c>
      <c r="Z119" s="13">
        <f>'4.1 Comptes 2023 natures'!Z119/'4.1 Comptes 2023 natures'!Z3</f>
        <v>2.4864494518879416</v>
      </c>
      <c r="AA119" s="13">
        <f>'4.1 Comptes 2023 natures'!AA119/'4.1 Comptes 2023 natures'!AA3</f>
        <v>2.6758389261744964</v>
      </c>
      <c r="AB119" s="13">
        <f>'4.1 Comptes 2023 natures'!AB119/'4.1 Comptes 2023 natures'!AB3</f>
        <v>2.5193137254901958</v>
      </c>
      <c r="AC119" s="13">
        <f>'4.1 Comptes 2023 natures'!AC119/'4.1 Comptes 2023 natures'!AC3</f>
        <v>0</v>
      </c>
      <c r="AD119" s="13">
        <f>'4.1 Comptes 2023 natures'!AD119/'4.1 Comptes 2023 natures'!AD3</f>
        <v>2.4350706713780919</v>
      </c>
      <c r="AE119" s="13">
        <f>'4.1 Comptes 2023 natures'!AE119/'4.1 Comptes 2023 natures'!AE3</f>
        <v>2.533759842519685</v>
      </c>
      <c r="AF119" s="13">
        <f>'4.1 Comptes 2023 natures'!AF119/'4.1 Comptes 2023 natures'!AF3</f>
        <v>2.456259580991313</v>
      </c>
      <c r="AG119" s="13">
        <f>'4.1 Comptes 2023 natures'!AG119/'4.1 Comptes 2023 natures'!AG3</f>
        <v>2.5299454828660433</v>
      </c>
      <c r="AH119" s="13">
        <f>'4.1 Comptes 2023 natures'!AH119/'4.1 Comptes 2023 natures'!AH3</f>
        <v>2.4269874476987447</v>
      </c>
      <c r="AI119" s="13">
        <f>'4.1 Comptes 2023 natures'!AI119/'4.1 Comptes 2023 natures'!AI3</f>
        <v>0</v>
      </c>
      <c r="AJ119" s="13">
        <f>'4.1 Comptes 2023 natures'!AJ119/'4.1 Comptes 2023 natures'!AJ3</f>
        <v>0</v>
      </c>
      <c r="AK119" s="13">
        <f>'4.1 Comptes 2023 natures'!AK119/'4.1 Comptes 2023 natures'!AK3</f>
        <v>0</v>
      </c>
      <c r="AL119" s="13">
        <f>'4.1 Comptes 2023 natures'!AL119/'4.1 Comptes 2023 natures'!AL3</f>
        <v>0</v>
      </c>
      <c r="AM119" s="13">
        <f>'4.1 Comptes 2023 natures'!AM119/'4.1 Comptes 2023 natures'!AM3</f>
        <v>2.6446428571428569</v>
      </c>
      <c r="AN119" s="13">
        <f>'4.1 Comptes 2023 natures'!AN119/'4.1 Comptes 2023 natures'!AN3</f>
        <v>6.9694278394534583</v>
      </c>
      <c r="AO119" s="13">
        <f>'4.1 Comptes 2023 natures'!AO119/'4.1 Comptes 2023 natures'!AO3</f>
        <v>0</v>
      </c>
      <c r="AP119" s="13">
        <f>'4.1 Comptes 2023 natures'!AP119/'4.1 Comptes 2023 natures'!AP3</f>
        <v>0</v>
      </c>
      <c r="AQ119" s="13">
        <f>'4.1 Comptes 2023 natures'!AQ119/'4.1 Comptes 2023 natures'!AQ3</f>
        <v>2.4777047913446677</v>
      </c>
      <c r="AR119" s="13">
        <f>'4.1 Comptes 2023 natures'!AR119/'4.1 Comptes 2023 natures'!AR3</f>
        <v>0</v>
      </c>
      <c r="AS119" s="13">
        <f>'4.1 Comptes 2023 natures'!AS119/'4.1 Comptes 2023 natures'!AS3</f>
        <v>37.518254716981133</v>
      </c>
      <c r="AT119" s="13">
        <f>'4.1 Comptes 2023 natures'!AT119/'4.1 Comptes 2023 natures'!AT3</f>
        <v>2.3460191082802546</v>
      </c>
      <c r="AU119" s="13">
        <f>'4.1 Comptes 2023 natures'!AU119/'4.1 Comptes 2023 natures'!AU3</f>
        <v>0.67795352629433348</v>
      </c>
      <c r="AV119" s="13">
        <f>'4.1 Comptes 2023 natures'!AV119/'4.1 Comptes 2023 natures'!AV3</f>
        <v>2.6018087855297156</v>
      </c>
      <c r="AW119" s="13">
        <f>'4.1 Comptes 2023 natures'!AW119/'4.1 Comptes 2023 natures'!AW3</f>
        <v>2.7140495867768597</v>
      </c>
      <c r="AX119" s="13">
        <f>'4.1 Comptes 2023 natures'!AX119/'4.1 Comptes 2023 natures'!AX3</f>
        <v>2.5293674698795181</v>
      </c>
      <c r="AY119" s="13">
        <f>'4.1 Comptes 2023 natures'!AY119/'4.1 Comptes 2023 natures'!AY3</f>
        <v>2.5653916211293257</v>
      </c>
      <c r="AZ119" s="13">
        <f>'4.1 Comptes 2023 natures'!AZ119/'4.1 Comptes 2023 natures'!AZ3</f>
        <v>0</v>
      </c>
      <c r="BA119" s="13">
        <f>'4.1 Comptes 2023 natures'!BA119/'4.1 Comptes 2023 natures'!BA3</f>
        <v>2.5104068117313152</v>
      </c>
      <c r="BB119" s="13">
        <f>'4.1 Comptes 2023 natures'!BB119/'4.1 Comptes 2023 natures'!BB3</f>
        <v>2.5809195576427815</v>
      </c>
      <c r="BC119" s="13">
        <f>'4.1 Comptes 2023 natures'!BC119/'4.1 Comptes 2023 natures'!BC3</f>
        <v>0</v>
      </c>
      <c r="BD119" s="13">
        <f>'4.1 Comptes 2023 natures'!BD119/'4.1 Comptes 2023 natures'!BD3</f>
        <v>7.1089951440682526</v>
      </c>
      <c r="BE119" s="13">
        <f>'4.1 Comptes 2023 natures'!BE119/'4.1 Comptes 2023 natures'!BE3</f>
        <v>10.637416792738275</v>
      </c>
      <c r="BF119" s="13">
        <f>'4.1 Comptes 2023 natures'!BF119/'4.1 Comptes 2023 natures'!BF3</f>
        <v>2.5158816826512207</v>
      </c>
      <c r="BG119" s="13">
        <f>'4.1 Comptes 2023 natures'!BG119/'4.1 Comptes 2023 natures'!BG3</f>
        <v>3.3496190006979507</v>
      </c>
    </row>
    <row r="120" spans="2:59" x14ac:dyDescent="0.2">
      <c r="C120" s="8">
        <v>451</v>
      </c>
      <c r="D120" s="8" t="s">
        <v>169</v>
      </c>
      <c r="E120" s="13">
        <f>'4.1 Comptes 2023 natures'!E120/'4.1 Comptes 2023 natures'!E3</f>
        <v>7.8564516129032258</v>
      </c>
      <c r="F120" s="13">
        <f>'4.1 Comptes 2023 natures'!F120/'4.1 Comptes 2023 natures'!F3</f>
        <v>0</v>
      </c>
      <c r="G120" s="13">
        <f>'4.1 Comptes 2023 natures'!G120/'4.1 Comptes 2023 natures'!G3</f>
        <v>22.702125506072875</v>
      </c>
      <c r="H120" s="13">
        <f>'4.1 Comptes 2023 natures'!H120/'4.1 Comptes 2023 natures'!H3</f>
        <v>91.767415730337078</v>
      </c>
      <c r="I120" s="13">
        <f>'4.1 Comptes 2023 natures'!I120/'4.1 Comptes 2023 natures'!I3</f>
        <v>47.787701118080172</v>
      </c>
      <c r="J120" s="13">
        <f>'4.1 Comptes 2023 natures'!J120/'4.1 Comptes 2023 natures'!J3</f>
        <v>22.554396348645465</v>
      </c>
      <c r="K120" s="13">
        <f>'4.1 Comptes 2023 natures'!K120/'4.1 Comptes 2023 natures'!K3</f>
        <v>10.002808370044054</v>
      </c>
      <c r="L120" s="13">
        <f>'4.1 Comptes 2023 natures'!L120/'4.1 Comptes 2023 natures'!L3</f>
        <v>0</v>
      </c>
      <c r="M120" s="13">
        <f>'4.1 Comptes 2023 natures'!M120/'4.1 Comptes 2023 natures'!M3</f>
        <v>204.49965743440237</v>
      </c>
      <c r="N120" s="13">
        <f>'4.1 Comptes 2023 natures'!N120/'4.1 Comptes 2023 natures'!N3</f>
        <v>0</v>
      </c>
      <c r="O120" s="13">
        <f>'4.1 Comptes 2023 natures'!O120/'4.1 Comptes 2023 natures'!O3</f>
        <v>44.899633251833741</v>
      </c>
      <c r="P120" s="13">
        <f>'4.1 Comptes 2023 natures'!P120/'4.1 Comptes 2023 natures'!P3</f>
        <v>0</v>
      </c>
      <c r="Q120" s="13">
        <f>'4.1 Comptes 2023 natures'!Q120/'4.1 Comptes 2023 natures'!Q3</f>
        <v>22.405357142857145</v>
      </c>
      <c r="R120" s="13">
        <f>'4.1 Comptes 2023 natures'!R120/'4.1 Comptes 2023 natures'!R3</f>
        <v>19.295809523809524</v>
      </c>
      <c r="S120" s="13">
        <f>'4.1 Comptes 2023 natures'!S120/'4.1 Comptes 2023 natures'!S3</f>
        <v>117.01587392550144</v>
      </c>
      <c r="T120" s="13">
        <f>'4.1 Comptes 2023 natures'!T120/'4.1 Comptes 2023 natures'!T3</f>
        <v>40.544133697135059</v>
      </c>
      <c r="U120" s="13">
        <f>'4.1 Comptes 2023 natures'!U120/'4.1 Comptes 2023 natures'!U3</f>
        <v>0</v>
      </c>
      <c r="V120" s="13">
        <f>'4.1 Comptes 2023 natures'!V120/'4.1 Comptes 2023 natures'!V3</f>
        <v>0</v>
      </c>
      <c r="W120" s="13">
        <f>'4.1 Comptes 2023 natures'!W120/'4.1 Comptes 2023 natures'!W3</f>
        <v>0</v>
      </c>
      <c r="X120" s="13">
        <f>'4.1 Comptes 2023 natures'!X120/'4.1 Comptes 2023 natures'!X3</f>
        <v>0</v>
      </c>
      <c r="Y120" s="13">
        <f>'4.1 Comptes 2023 natures'!Y120/'4.1 Comptes 2023 natures'!Y3</f>
        <v>0</v>
      </c>
      <c r="Z120" s="13">
        <f>'4.1 Comptes 2023 natures'!Z120/'4.1 Comptes 2023 natures'!Z3</f>
        <v>5.4897381242387331</v>
      </c>
      <c r="AA120" s="13">
        <f>'4.1 Comptes 2023 natures'!AA120/'4.1 Comptes 2023 natures'!AA3</f>
        <v>0</v>
      </c>
      <c r="AB120" s="13">
        <f>'4.1 Comptes 2023 natures'!AB120/'4.1 Comptes 2023 natures'!AB3</f>
        <v>0</v>
      </c>
      <c r="AC120" s="13">
        <f>'4.1 Comptes 2023 natures'!AC120/'4.1 Comptes 2023 natures'!AC3</f>
        <v>65.311478873239437</v>
      </c>
      <c r="AD120" s="13">
        <f>'4.1 Comptes 2023 natures'!AD120/'4.1 Comptes 2023 natures'!AD3</f>
        <v>0</v>
      </c>
      <c r="AE120" s="13">
        <f>'4.1 Comptes 2023 natures'!AE120/'4.1 Comptes 2023 natures'!AE3</f>
        <v>87.667322834645674</v>
      </c>
      <c r="AF120" s="13">
        <f>'4.1 Comptes 2023 natures'!AF120/'4.1 Comptes 2023 natures'!AF3</f>
        <v>61.995503321410318</v>
      </c>
      <c r="AG120" s="13">
        <f>'4.1 Comptes 2023 natures'!AG120/'4.1 Comptes 2023 natures'!AG3</f>
        <v>0</v>
      </c>
      <c r="AH120" s="13">
        <f>'4.1 Comptes 2023 natures'!AH120/'4.1 Comptes 2023 natures'!AH3</f>
        <v>66.802761506276156</v>
      </c>
      <c r="AI120" s="13">
        <f>'4.1 Comptes 2023 natures'!AI120/'4.1 Comptes 2023 natures'!AI3</f>
        <v>0</v>
      </c>
      <c r="AJ120" s="13">
        <f>'4.1 Comptes 2023 natures'!AJ120/'4.1 Comptes 2023 natures'!AJ3</f>
        <v>0</v>
      </c>
      <c r="AK120" s="13">
        <f>'4.1 Comptes 2023 natures'!AK120/'4.1 Comptes 2023 natures'!AK3</f>
        <v>11.55015873015873</v>
      </c>
      <c r="AL120" s="13">
        <f>'4.1 Comptes 2023 natures'!AL120/'4.1 Comptes 2023 natures'!AL3</f>
        <v>0</v>
      </c>
      <c r="AM120" s="13">
        <f>'4.1 Comptes 2023 natures'!AM120/'4.1 Comptes 2023 natures'!AM3</f>
        <v>0</v>
      </c>
      <c r="AN120" s="13">
        <f>'4.1 Comptes 2023 natures'!AN120/'4.1 Comptes 2023 natures'!AN3</f>
        <v>0</v>
      </c>
      <c r="AO120" s="13">
        <f>'4.1 Comptes 2023 natures'!AO120/'4.1 Comptes 2023 natures'!AO3</f>
        <v>13.248396946564887</v>
      </c>
      <c r="AP120" s="13">
        <f>'4.1 Comptes 2023 natures'!AP120/'4.1 Comptes 2023 natures'!AP3</f>
        <v>0</v>
      </c>
      <c r="AQ120" s="13">
        <f>'4.1 Comptes 2023 natures'!AQ120/'4.1 Comptes 2023 natures'!AQ3</f>
        <v>77.666151468315306</v>
      </c>
      <c r="AR120" s="13">
        <f>'4.1 Comptes 2023 natures'!AR120/'4.1 Comptes 2023 natures'!AR3</f>
        <v>81.805062413314843</v>
      </c>
      <c r="AS120" s="13">
        <f>'4.1 Comptes 2023 natures'!AS120/'4.1 Comptes 2023 natures'!AS3</f>
        <v>1.3716509433962265</v>
      </c>
      <c r="AT120" s="13">
        <f>'4.1 Comptes 2023 natures'!AT120/'4.1 Comptes 2023 natures'!AT3</f>
        <v>0.51305732484076427</v>
      </c>
      <c r="AU120" s="13">
        <f>'4.1 Comptes 2023 natures'!AU120/'4.1 Comptes 2023 natures'!AU3</f>
        <v>90.576661231145536</v>
      </c>
      <c r="AV120" s="13">
        <f>'4.1 Comptes 2023 natures'!AV120/'4.1 Comptes 2023 natures'!AV3</f>
        <v>0</v>
      </c>
      <c r="AW120" s="13">
        <f>'4.1 Comptes 2023 natures'!AW120/'4.1 Comptes 2023 natures'!AW3</f>
        <v>266.48884297520658</v>
      </c>
      <c r="AX120" s="13">
        <f>'4.1 Comptes 2023 natures'!AX120/'4.1 Comptes 2023 natures'!AX3</f>
        <v>0</v>
      </c>
      <c r="AY120" s="13">
        <f>'4.1 Comptes 2023 natures'!AY120/'4.1 Comptes 2023 natures'!AY3</f>
        <v>0</v>
      </c>
      <c r="AZ120" s="13">
        <f>'4.1 Comptes 2023 natures'!AZ120/'4.1 Comptes 2023 natures'!AZ3</f>
        <v>226.45023622047242</v>
      </c>
      <c r="BA120" s="13">
        <f>'4.1 Comptes 2023 natures'!BA120/'4.1 Comptes 2023 natures'!BA3</f>
        <v>97.445600756859037</v>
      </c>
      <c r="BB120" s="13">
        <f>'4.1 Comptes 2023 natures'!BB120/'4.1 Comptes 2023 natures'!BB3</f>
        <v>32.703388880472659</v>
      </c>
      <c r="BC120" s="13">
        <f>'4.1 Comptes 2023 natures'!BC120/'4.1 Comptes 2023 natures'!BC3</f>
        <v>0.21937842778793418</v>
      </c>
      <c r="BD120" s="13">
        <f>'4.1 Comptes 2023 natures'!BD120/'4.1 Comptes 2023 natures'!BD3</f>
        <v>29.179226672747756</v>
      </c>
      <c r="BE120" s="13">
        <f>'4.1 Comptes 2023 natures'!BE120/'4.1 Comptes 2023 natures'!BE3</f>
        <v>25.99538426626324</v>
      </c>
      <c r="BF120" s="13">
        <f>'4.1 Comptes 2023 natures'!BF120/'4.1 Comptes 2023 natures'!BF3</f>
        <v>22.525055550280126</v>
      </c>
      <c r="BG120" s="13">
        <f>'4.1 Comptes 2023 natures'!BG120/'4.1 Comptes 2023 natures'!BG3</f>
        <v>37.240410970152318</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498.60312174817903</v>
      </c>
      <c r="F122" s="78">
        <f t="shared" ref="F122:BG122" si="21">F123+F124+F125+F126+F127</f>
        <v>889.73793103448281</v>
      </c>
      <c r="G122" s="78">
        <f t="shared" si="21"/>
        <v>277.4871052631579</v>
      </c>
      <c r="H122" s="78">
        <f t="shared" si="21"/>
        <v>316.74152808988759</v>
      </c>
      <c r="I122" s="78">
        <f t="shared" si="21"/>
        <v>578.00687210253602</v>
      </c>
      <c r="J122" s="78">
        <f t="shared" si="21"/>
        <v>368.09080683156657</v>
      </c>
      <c r="K122" s="78">
        <f t="shared" si="21"/>
        <v>365.7820484581498</v>
      </c>
      <c r="L122" s="78">
        <f t="shared" si="21"/>
        <v>1683.7562508831147</v>
      </c>
      <c r="M122" s="78">
        <f t="shared" si="21"/>
        <v>804.79256559766759</v>
      </c>
      <c r="N122" s="78">
        <f t="shared" si="21"/>
        <v>1370.9405982905985</v>
      </c>
      <c r="O122" s="78">
        <f t="shared" si="21"/>
        <v>403.59859277370282</v>
      </c>
      <c r="P122" s="78">
        <f t="shared" si="21"/>
        <v>636.72766355140186</v>
      </c>
      <c r="Q122" s="78">
        <f t="shared" si="21"/>
        <v>481.62098214285714</v>
      </c>
      <c r="R122" s="78">
        <f t="shared" si="21"/>
        <v>434.25952380952384</v>
      </c>
      <c r="S122" s="78">
        <f t="shared" si="21"/>
        <v>471.61318051575932</v>
      </c>
      <c r="T122" s="78">
        <f t="shared" si="21"/>
        <v>100.59899045020465</v>
      </c>
      <c r="U122" s="78">
        <f t="shared" si="21"/>
        <v>797.10934065934066</v>
      </c>
      <c r="V122" s="78">
        <f t="shared" si="21"/>
        <v>1520.9517865429234</v>
      </c>
      <c r="W122" s="78">
        <f t="shared" si="21"/>
        <v>493.06141021719185</v>
      </c>
      <c r="X122" s="78">
        <f t="shared" si="21"/>
        <v>326.43032786885243</v>
      </c>
      <c r="Y122" s="78">
        <f t="shared" si="21"/>
        <v>719.63519169329061</v>
      </c>
      <c r="Z122" s="78">
        <f t="shared" si="21"/>
        <v>1191.1972898903778</v>
      </c>
      <c r="AA122" s="78">
        <f t="shared" si="21"/>
        <v>894.22718120805359</v>
      </c>
      <c r="AB122" s="78">
        <f t="shared" si="21"/>
        <v>449.24705882352941</v>
      </c>
      <c r="AC122" s="78">
        <f t="shared" si="21"/>
        <v>998.32477464788735</v>
      </c>
      <c r="AD122" s="78">
        <f t="shared" si="21"/>
        <v>584.89328621908123</v>
      </c>
      <c r="AE122" s="78">
        <f t="shared" si="21"/>
        <v>742.48047244094482</v>
      </c>
      <c r="AF122" s="78">
        <f t="shared" si="21"/>
        <v>521.09220746039853</v>
      </c>
      <c r="AG122" s="78">
        <f t="shared" si="21"/>
        <v>611.22986760124604</v>
      </c>
      <c r="AH122" s="78">
        <f t="shared" si="21"/>
        <v>986.75384937238505</v>
      </c>
      <c r="AI122" s="78">
        <f t="shared" si="21"/>
        <v>660.37184000000002</v>
      </c>
      <c r="AJ122" s="78">
        <f t="shared" si="21"/>
        <v>430.72716308337698</v>
      </c>
      <c r="AK122" s="78">
        <f t="shared" si="21"/>
        <v>739.91040564373907</v>
      </c>
      <c r="AL122" s="78">
        <f t="shared" si="21"/>
        <v>1193.0513050706568</v>
      </c>
      <c r="AM122" s="78">
        <f t="shared" si="21"/>
        <v>815.66473214285713</v>
      </c>
      <c r="AN122" s="78">
        <f t="shared" si="21"/>
        <v>264.00457728437237</v>
      </c>
      <c r="AO122" s="78">
        <f t="shared" si="21"/>
        <v>1624.3763511450381</v>
      </c>
      <c r="AP122" s="78">
        <f t="shared" si="21"/>
        <v>441.11066561014258</v>
      </c>
      <c r="AQ122" s="78">
        <f t="shared" si="21"/>
        <v>1302.8825193199384</v>
      </c>
      <c r="AR122" s="78">
        <f t="shared" si="21"/>
        <v>433.2108183079057</v>
      </c>
      <c r="AS122" s="78">
        <f t="shared" si="21"/>
        <v>706.53633018867924</v>
      </c>
      <c r="AT122" s="78">
        <f t="shared" si="21"/>
        <v>1015.8376433121019</v>
      </c>
      <c r="AU122" s="78">
        <f t="shared" si="21"/>
        <v>682.36943334692216</v>
      </c>
      <c r="AV122" s="78">
        <f t="shared" si="21"/>
        <v>351.39748062015502</v>
      </c>
      <c r="AW122" s="78">
        <f t="shared" si="21"/>
        <v>1734.1922865013773</v>
      </c>
      <c r="AX122" s="78">
        <f t="shared" si="21"/>
        <v>504.20376506024093</v>
      </c>
      <c r="AY122" s="78">
        <f t="shared" si="21"/>
        <v>396.31013964784455</v>
      </c>
      <c r="AZ122" s="78">
        <f t="shared" si="21"/>
        <v>1213.8882414698164</v>
      </c>
      <c r="BA122" s="78">
        <f t="shared" si="21"/>
        <v>622.84491012298963</v>
      </c>
      <c r="BB122" s="78">
        <f t="shared" si="21"/>
        <v>1356.6182669292532</v>
      </c>
      <c r="BC122" s="78">
        <f t="shared" si="21"/>
        <v>733.03235831809877</v>
      </c>
      <c r="BD122" s="78">
        <f t="shared" si="21"/>
        <v>855.30893571926811</v>
      </c>
      <c r="BE122" s="78">
        <f t="shared" si="21"/>
        <v>865.88239006555716</v>
      </c>
      <c r="BF122" s="78">
        <f t="shared" si="21"/>
        <v>725.82689013389052</v>
      </c>
      <c r="BG122" s="78">
        <f t="shared" si="21"/>
        <v>894.07529539762686</v>
      </c>
    </row>
    <row r="123" spans="2:59" x14ac:dyDescent="0.2">
      <c r="C123" s="8">
        <v>460</v>
      </c>
      <c r="D123" s="8" t="s">
        <v>172</v>
      </c>
      <c r="E123" s="13">
        <f>'4.1 Comptes 2023 natures'!E123/'4.1 Comptes 2023 natures'!E3</f>
        <v>9.2049947970863677</v>
      </c>
      <c r="F123" s="13">
        <f>'4.1 Comptes 2023 natures'!F123/'4.1 Comptes 2023 natures'!F3</f>
        <v>16.57088122605364</v>
      </c>
      <c r="G123" s="13">
        <f>'4.1 Comptes 2023 natures'!G123/'4.1 Comptes 2023 natures'!G3</f>
        <v>1.1963562753036436</v>
      </c>
      <c r="H123" s="13">
        <f>'4.1 Comptes 2023 natures'!H123/'4.1 Comptes 2023 natures'!H3</f>
        <v>0</v>
      </c>
      <c r="I123" s="13">
        <f>'4.1 Comptes 2023 natures'!I123/'4.1 Comptes 2023 natures'!I3</f>
        <v>8.1208071993455135</v>
      </c>
      <c r="J123" s="13">
        <f>'4.1 Comptes 2023 natures'!J123/'4.1 Comptes 2023 natures'!J3</f>
        <v>22.320671378091873</v>
      </c>
      <c r="K123" s="13">
        <f>'4.1 Comptes 2023 natures'!K123/'4.1 Comptes 2023 natures'!K3</f>
        <v>19.595080763582967</v>
      </c>
      <c r="L123" s="13">
        <f>'4.1 Comptes 2023 natures'!L123/'4.1 Comptes 2023 natures'!L3</f>
        <v>37.842138315409372</v>
      </c>
      <c r="M123" s="13">
        <f>'4.1 Comptes 2023 natures'!M123/'4.1 Comptes 2023 natures'!M3</f>
        <v>29.652332361516034</v>
      </c>
      <c r="N123" s="13">
        <f>'4.1 Comptes 2023 natures'!N123/'4.1 Comptes 2023 natures'!N3</f>
        <v>2.7606837606837606</v>
      </c>
      <c r="O123" s="13">
        <f>'4.1 Comptes 2023 natures'!O123/'4.1 Comptes 2023 natures'!O3</f>
        <v>0</v>
      </c>
      <c r="P123" s="13">
        <f>'4.1 Comptes 2023 natures'!P123/'4.1 Comptes 2023 natures'!P3</f>
        <v>0</v>
      </c>
      <c r="Q123" s="13">
        <f>'4.1 Comptes 2023 natures'!Q123/'4.1 Comptes 2023 natures'!Q3</f>
        <v>15.289732142857144</v>
      </c>
      <c r="R123" s="13">
        <f>'4.1 Comptes 2023 natures'!R123/'4.1 Comptes 2023 natures'!R3</f>
        <v>0</v>
      </c>
      <c r="S123" s="13">
        <f>'4.1 Comptes 2023 natures'!S123/'4.1 Comptes 2023 natures'!S3</f>
        <v>0</v>
      </c>
      <c r="T123" s="13">
        <f>'4.1 Comptes 2023 natures'!T123/'4.1 Comptes 2023 natures'!T3</f>
        <v>3.491132332878581</v>
      </c>
      <c r="U123" s="13">
        <f>'4.1 Comptes 2023 natures'!U123/'4.1 Comptes 2023 natures'!U3</f>
        <v>0</v>
      </c>
      <c r="V123" s="13">
        <f>'4.1 Comptes 2023 natures'!V123/'4.1 Comptes 2023 natures'!V3</f>
        <v>45.966705336426919</v>
      </c>
      <c r="W123" s="13">
        <f>'4.1 Comptes 2023 natures'!W123/'4.1 Comptes 2023 natures'!W3</f>
        <v>22.906760477210156</v>
      </c>
      <c r="X123" s="13">
        <f>'4.1 Comptes 2023 natures'!X123/'4.1 Comptes 2023 natures'!X3</f>
        <v>0.96065573770491808</v>
      </c>
      <c r="Y123" s="13">
        <f>'4.1 Comptes 2023 natures'!Y123/'4.1 Comptes 2023 natures'!Y3</f>
        <v>5.7180511182108624</v>
      </c>
      <c r="Z123" s="13">
        <f>'4.1 Comptes 2023 natures'!Z123/'4.1 Comptes 2023 natures'!Z3</f>
        <v>307.2186358099878</v>
      </c>
      <c r="AA123" s="13">
        <f>'4.1 Comptes 2023 natures'!AA123/'4.1 Comptes 2023 natures'!AA3</f>
        <v>2.8120805369127515</v>
      </c>
      <c r="AB123" s="13">
        <f>'4.1 Comptes 2023 natures'!AB123/'4.1 Comptes 2023 natures'!AB3</f>
        <v>4.0563725490196081</v>
      </c>
      <c r="AC123" s="13">
        <f>'4.1 Comptes 2023 natures'!AC123/'4.1 Comptes 2023 natures'!AC3</f>
        <v>5.2591549295774644</v>
      </c>
      <c r="AD123" s="13">
        <f>'4.1 Comptes 2023 natures'!AD123/'4.1 Comptes 2023 natures'!AD3</f>
        <v>2.372791519434629</v>
      </c>
      <c r="AE123" s="13">
        <f>'4.1 Comptes 2023 natures'!AE123/'4.1 Comptes 2023 natures'!AE3</f>
        <v>0</v>
      </c>
      <c r="AF123" s="13">
        <f>'4.1 Comptes 2023 natures'!AF123/'4.1 Comptes 2023 natures'!AF3</f>
        <v>63.516607051609604</v>
      </c>
      <c r="AG123" s="13">
        <f>'4.1 Comptes 2023 natures'!AG123/'4.1 Comptes 2023 natures'!AG3</f>
        <v>13.987538940809969</v>
      </c>
      <c r="AH123" s="13">
        <f>'4.1 Comptes 2023 natures'!AH123/'4.1 Comptes 2023 natures'!AH3</f>
        <v>0</v>
      </c>
      <c r="AI123" s="13">
        <f>'4.1 Comptes 2023 natures'!AI123/'4.1 Comptes 2023 natures'!AI3</f>
        <v>0.64800000000000002</v>
      </c>
      <c r="AJ123" s="13">
        <f>'4.1 Comptes 2023 natures'!AJ123/'4.1 Comptes 2023 natures'!AJ3</f>
        <v>0.52438384897745149</v>
      </c>
      <c r="AK123" s="13">
        <f>'4.1 Comptes 2023 natures'!AK123/'4.1 Comptes 2023 natures'!AK3</f>
        <v>0</v>
      </c>
      <c r="AL123" s="13">
        <f>'4.1 Comptes 2023 natures'!AL123/'4.1 Comptes 2023 natures'!AL3</f>
        <v>5.9226932668329173</v>
      </c>
      <c r="AM123" s="13">
        <f>'4.1 Comptes 2023 natures'!AM123/'4.1 Comptes 2023 natures'!AM3</f>
        <v>0</v>
      </c>
      <c r="AN123" s="13">
        <f>'4.1 Comptes 2023 natures'!AN123/'4.1 Comptes 2023 natures'!AN3</f>
        <v>182.10589239965842</v>
      </c>
      <c r="AO123" s="13">
        <f>'4.1 Comptes 2023 natures'!AO123/'4.1 Comptes 2023 natures'!AO3</f>
        <v>21.148091603053434</v>
      </c>
      <c r="AP123" s="13">
        <f>'4.1 Comptes 2023 natures'!AP123/'4.1 Comptes 2023 natures'!AP3</f>
        <v>7.2979397781299529</v>
      </c>
      <c r="AQ123" s="13">
        <f>'4.1 Comptes 2023 natures'!AQ123/'4.1 Comptes 2023 natures'!AQ3</f>
        <v>0</v>
      </c>
      <c r="AR123" s="13">
        <f>'4.1 Comptes 2023 natures'!AR123/'4.1 Comptes 2023 natures'!AR3</f>
        <v>0</v>
      </c>
      <c r="AS123" s="13">
        <f>'4.1 Comptes 2023 natures'!AS123/'4.1 Comptes 2023 natures'!AS3</f>
        <v>3.1669811320754717</v>
      </c>
      <c r="AT123" s="13">
        <f>'4.1 Comptes 2023 natures'!AT123/'4.1 Comptes 2023 natures'!AT3</f>
        <v>15.538216560509554</v>
      </c>
      <c r="AU123" s="13">
        <f>'4.1 Comptes 2023 natures'!AU123/'4.1 Comptes 2023 natures'!AU3</f>
        <v>17.951895637994294</v>
      </c>
      <c r="AV123" s="13">
        <f>'4.1 Comptes 2023 natures'!AV123/'4.1 Comptes 2023 natures'!AV3</f>
        <v>29.903100775193799</v>
      </c>
      <c r="AW123" s="13">
        <f>'4.1 Comptes 2023 natures'!AW123/'4.1 Comptes 2023 natures'!AW3</f>
        <v>0</v>
      </c>
      <c r="AX123" s="13">
        <f>'4.1 Comptes 2023 natures'!AX123/'4.1 Comptes 2023 natures'!AX3</f>
        <v>3.6355421686746987</v>
      </c>
      <c r="AY123" s="13">
        <f>'4.1 Comptes 2023 natures'!AY123/'4.1 Comptes 2023 natures'!AY3</f>
        <v>1.962962962962963</v>
      </c>
      <c r="AZ123" s="13">
        <f>'4.1 Comptes 2023 natures'!AZ123/'4.1 Comptes 2023 natures'!AZ3</f>
        <v>1.3097112860892388</v>
      </c>
      <c r="BA123" s="13">
        <f>'4.1 Comptes 2023 natures'!BA123/'4.1 Comptes 2023 natures'!BA3</f>
        <v>19.715231788079471</v>
      </c>
      <c r="BB123" s="13">
        <f>'4.1 Comptes 2023 natures'!BB123/'4.1 Comptes 2023 natures'!BB3</f>
        <v>28.029995455234054</v>
      </c>
      <c r="BC123" s="13">
        <f>'4.1 Comptes 2023 natures'!BC123/'4.1 Comptes 2023 natures'!BC3</f>
        <v>6.122486288848263</v>
      </c>
      <c r="BD123" s="13">
        <f>'4.1 Comptes 2023 natures'!BD123/'4.1 Comptes 2023 natures'!BD3</f>
        <v>26.881097413746843</v>
      </c>
      <c r="BE123" s="13">
        <f>'4.1 Comptes 2023 natures'!BE123/'4.1 Comptes 2023 natures'!BE3</f>
        <v>20.039367120524457</v>
      </c>
      <c r="BF123" s="13">
        <f>'4.1 Comptes 2023 natures'!BF123/'4.1 Comptes 2023 natures'!BF3</f>
        <v>64.54968663944544</v>
      </c>
      <c r="BG123" s="13">
        <f>'4.1 Comptes 2023 natures'!BG123/'4.1 Comptes 2023 natures'!BG3</f>
        <v>21.734942726936815</v>
      </c>
    </row>
    <row r="124" spans="2:59" x14ac:dyDescent="0.2">
      <c r="C124" s="8">
        <v>461</v>
      </c>
      <c r="D124" s="8" t="s">
        <v>173</v>
      </c>
      <c r="E124" s="13">
        <f>'4.1 Comptes 2023 natures'!E124/'4.1 Comptes 2023 natures'!E3</f>
        <v>360.59469302809572</v>
      </c>
      <c r="F124" s="13">
        <f>'4.1 Comptes 2023 natures'!F124/'4.1 Comptes 2023 natures'!F3</f>
        <v>30.096743295019156</v>
      </c>
      <c r="G124" s="13">
        <f>'4.1 Comptes 2023 natures'!G124/'4.1 Comptes 2023 natures'!G3</f>
        <v>58.508805668016194</v>
      </c>
      <c r="H124" s="13">
        <f>'4.1 Comptes 2023 natures'!H124/'4.1 Comptes 2023 natures'!H3</f>
        <v>6.267370786516854</v>
      </c>
      <c r="I124" s="13">
        <f>'4.1 Comptes 2023 natures'!I124/'4.1 Comptes 2023 natures'!I3</f>
        <v>182.52263430597219</v>
      </c>
      <c r="J124" s="13">
        <f>'4.1 Comptes 2023 natures'!J124/'4.1 Comptes 2023 natures'!J3</f>
        <v>187.6685394581861</v>
      </c>
      <c r="K124" s="13">
        <f>'4.1 Comptes 2023 natures'!K124/'4.1 Comptes 2023 natures'!K3</f>
        <v>284.89278634361233</v>
      </c>
      <c r="L124" s="13">
        <f>'4.1 Comptes 2023 natures'!L124/'4.1 Comptes 2023 natures'!L3</f>
        <v>795.4938456707747</v>
      </c>
      <c r="M124" s="13">
        <f>'4.1 Comptes 2023 natures'!M124/'4.1 Comptes 2023 natures'!M3</f>
        <v>411.08582361516034</v>
      </c>
      <c r="N124" s="13">
        <f>'4.1 Comptes 2023 natures'!N124/'4.1 Comptes 2023 natures'!N3</f>
        <v>309.27692307692308</v>
      </c>
      <c r="O124" s="13">
        <f>'4.1 Comptes 2023 natures'!O124/'4.1 Comptes 2023 natures'!O3</f>
        <v>143.49345965770172</v>
      </c>
      <c r="P124" s="13">
        <f>'4.1 Comptes 2023 natures'!P124/'4.1 Comptes 2023 natures'!P3</f>
        <v>11.323271028037382</v>
      </c>
      <c r="Q124" s="13">
        <f>'4.1 Comptes 2023 natures'!Q124/'4.1 Comptes 2023 natures'!Q3</f>
        <v>3.9334821428571431</v>
      </c>
      <c r="R124" s="13">
        <f>'4.1 Comptes 2023 natures'!R124/'4.1 Comptes 2023 natures'!R3</f>
        <v>36.112976190476189</v>
      </c>
      <c r="S124" s="13">
        <f>'4.1 Comptes 2023 natures'!S124/'4.1 Comptes 2023 natures'!S3</f>
        <v>100.68180515759312</v>
      </c>
      <c r="T124" s="13">
        <f>'4.1 Comptes 2023 natures'!T124/'4.1 Comptes 2023 natures'!T3</f>
        <v>54.877435197817192</v>
      </c>
      <c r="U124" s="13">
        <f>'4.1 Comptes 2023 natures'!U124/'4.1 Comptes 2023 natures'!U3</f>
        <v>7.4518315018315011</v>
      </c>
      <c r="V124" s="13">
        <f>'4.1 Comptes 2023 natures'!V124/'4.1 Comptes 2023 natures'!V3</f>
        <v>1276.3964501160092</v>
      </c>
      <c r="W124" s="13">
        <f>'4.1 Comptes 2023 natures'!W124/'4.1 Comptes 2023 natures'!W3</f>
        <v>164.71654940348731</v>
      </c>
      <c r="X124" s="13">
        <f>'4.1 Comptes 2023 natures'!X124/'4.1 Comptes 2023 natures'!X3</f>
        <v>56.421475409836063</v>
      </c>
      <c r="Y124" s="13">
        <f>'4.1 Comptes 2023 natures'!Y124/'4.1 Comptes 2023 natures'!Y3</f>
        <v>656.68123801916931</v>
      </c>
      <c r="Z124" s="13">
        <f>'4.1 Comptes 2023 natures'!Z124/'4.1 Comptes 2023 natures'!Z3</f>
        <v>620.97128501827035</v>
      </c>
      <c r="AA124" s="13">
        <f>'4.1 Comptes 2023 natures'!AA124/'4.1 Comptes 2023 natures'!AA3</f>
        <v>333.59630872483223</v>
      </c>
      <c r="AB124" s="13">
        <f>'4.1 Comptes 2023 natures'!AB124/'4.1 Comptes 2023 natures'!AB3</f>
        <v>152.25421568627451</v>
      </c>
      <c r="AC124" s="13">
        <f>'4.1 Comptes 2023 natures'!AC124/'4.1 Comptes 2023 natures'!AC3</f>
        <v>650.50111267605632</v>
      </c>
      <c r="AD124" s="13">
        <f>'4.1 Comptes 2023 natures'!AD124/'4.1 Comptes 2023 natures'!AD3</f>
        <v>240.74434628975263</v>
      </c>
      <c r="AE124" s="13">
        <f>'4.1 Comptes 2023 natures'!AE124/'4.1 Comptes 2023 natures'!AE3</f>
        <v>2.943562992125984</v>
      </c>
      <c r="AF124" s="13">
        <f>'4.1 Comptes 2023 natures'!AF124/'4.1 Comptes 2023 natures'!AF3</f>
        <v>310.19383239652529</v>
      </c>
      <c r="AG124" s="13">
        <f>'4.1 Comptes 2023 natures'!AG124/'4.1 Comptes 2023 natures'!AG3</f>
        <v>208.00677570093458</v>
      </c>
      <c r="AH124" s="13">
        <f>'4.1 Comptes 2023 natures'!AH124/'4.1 Comptes 2023 natures'!AH3</f>
        <v>168.39882845188285</v>
      </c>
      <c r="AI124" s="13">
        <f>'4.1 Comptes 2023 natures'!AI124/'4.1 Comptes 2023 natures'!AI3</f>
        <v>116.718</v>
      </c>
      <c r="AJ124" s="13">
        <f>'4.1 Comptes 2023 natures'!AJ124/'4.1 Comptes 2023 natures'!AJ3</f>
        <v>363.50062926061872</v>
      </c>
      <c r="AK124" s="13">
        <f>'4.1 Comptes 2023 natures'!AK124/'4.1 Comptes 2023 natures'!AK3</f>
        <v>71.144753086419755</v>
      </c>
      <c r="AL124" s="13">
        <f>'4.1 Comptes 2023 natures'!AL124/'4.1 Comptes 2023 natures'!AL3</f>
        <v>522.70961762261015</v>
      </c>
      <c r="AM124" s="13">
        <f>'4.1 Comptes 2023 natures'!AM124/'4.1 Comptes 2023 natures'!AM3</f>
        <v>406.62857142857143</v>
      </c>
      <c r="AN124" s="13">
        <f>'4.1 Comptes 2023 natures'!AN124/'4.1 Comptes 2023 natures'!AN3</f>
        <v>12.609017933390264</v>
      </c>
      <c r="AO124" s="13">
        <f>'4.1 Comptes 2023 natures'!AO124/'4.1 Comptes 2023 natures'!AO3</f>
        <v>1515.0927633587787</v>
      </c>
      <c r="AP124" s="13">
        <f>'4.1 Comptes 2023 natures'!AP124/'4.1 Comptes 2023 natures'!AP3</f>
        <v>59.966402535657693</v>
      </c>
      <c r="AQ124" s="13">
        <f>'4.1 Comptes 2023 natures'!AQ124/'4.1 Comptes 2023 natures'!AQ3</f>
        <v>773.83709428129828</v>
      </c>
      <c r="AR124" s="13">
        <f>'4.1 Comptes 2023 natures'!AR124/'4.1 Comptes 2023 natures'!AR3</f>
        <v>75.529819694868237</v>
      </c>
      <c r="AS124" s="13">
        <f>'4.1 Comptes 2023 natures'!AS124/'4.1 Comptes 2023 natures'!AS3</f>
        <v>66.253783018867921</v>
      </c>
      <c r="AT124" s="13">
        <f>'4.1 Comptes 2023 natures'!AT124/'4.1 Comptes 2023 natures'!AT3</f>
        <v>267.62420382165607</v>
      </c>
      <c r="AU124" s="13">
        <f>'4.1 Comptes 2023 natures'!AU124/'4.1 Comptes 2023 natures'!AU3</f>
        <v>599.10386057888297</v>
      </c>
      <c r="AV124" s="13">
        <f>'4.1 Comptes 2023 natures'!AV124/'4.1 Comptes 2023 natures'!AV3</f>
        <v>187.74909560723512</v>
      </c>
      <c r="AW124" s="13">
        <f>'4.1 Comptes 2023 natures'!AW124/'4.1 Comptes 2023 natures'!AW3</f>
        <v>10.229201101928375</v>
      </c>
      <c r="AX124" s="13">
        <f>'4.1 Comptes 2023 natures'!AX124/'4.1 Comptes 2023 natures'!AX3</f>
        <v>26.35542168674699</v>
      </c>
      <c r="AY124" s="13">
        <f>'4.1 Comptes 2023 natures'!AY124/'4.1 Comptes 2023 natures'!AY3</f>
        <v>183.22304189435334</v>
      </c>
      <c r="AZ124" s="13">
        <f>'4.1 Comptes 2023 natures'!AZ124/'4.1 Comptes 2023 natures'!AZ3</f>
        <v>567.44199475065614</v>
      </c>
      <c r="BA124" s="13">
        <f>'4.1 Comptes 2023 natures'!BA124/'4.1 Comptes 2023 natures'!BA3</f>
        <v>536.15588457899719</v>
      </c>
      <c r="BB124" s="13">
        <f>'4.1 Comptes 2023 natures'!BB124/'4.1 Comptes 2023 natures'!BB3</f>
        <v>1111.9114452355705</v>
      </c>
      <c r="BC124" s="13">
        <f>'4.1 Comptes 2023 natures'!BC124/'4.1 Comptes 2023 natures'!BC3</f>
        <v>266.71179159049359</v>
      </c>
      <c r="BD124" s="13">
        <f>'4.1 Comptes 2023 natures'!BD124/'4.1 Comptes 2023 natures'!BD3</f>
        <v>444.40891291516868</v>
      </c>
      <c r="BE124" s="13">
        <f>'4.1 Comptes 2023 natures'!BE124/'4.1 Comptes 2023 natures'!BE3</f>
        <v>389.48055143721626</v>
      </c>
      <c r="BF124" s="13">
        <f>'4.1 Comptes 2023 natures'!BF124/'4.1 Comptes 2023 natures'!BF3</f>
        <v>359.13246890133888</v>
      </c>
      <c r="BG124" s="13">
        <f>'4.1 Comptes 2023 natures'!BG124/'4.1 Comptes 2023 natures'!BG3</f>
        <v>570.71777887260339</v>
      </c>
    </row>
    <row r="125" spans="2:59" x14ac:dyDescent="0.2">
      <c r="C125" s="8">
        <v>462</v>
      </c>
      <c r="D125" s="8" t="s">
        <v>109</v>
      </c>
      <c r="E125" s="13">
        <f>'4.1 Comptes 2023 natures'!E125/'4.1 Comptes 2023 natures'!E3</f>
        <v>21.947970863683661</v>
      </c>
      <c r="F125" s="13">
        <f>'4.1 Comptes 2023 natures'!F125/'4.1 Comptes 2023 natures'!F3</f>
        <v>611.29501915708818</v>
      </c>
      <c r="G125" s="13">
        <f>'4.1 Comptes 2023 natures'!G125/'4.1 Comptes 2023 natures'!G3</f>
        <v>147.8097165991903</v>
      </c>
      <c r="H125" s="13">
        <f>'4.1 Comptes 2023 natures'!H125/'4.1 Comptes 2023 natures'!H3</f>
        <v>304.99775280898876</v>
      </c>
      <c r="I125" s="13">
        <f>'4.1 Comptes 2023 natures'!I125/'4.1 Comptes 2023 natures'!I3</f>
        <v>335.53204254158715</v>
      </c>
      <c r="J125" s="13">
        <f>'4.1 Comptes 2023 natures'!J125/'4.1 Comptes 2023 natures'!J3</f>
        <v>60.305064782096586</v>
      </c>
      <c r="K125" s="13">
        <f>'4.1 Comptes 2023 natures'!K125/'4.1 Comptes 2023 natures'!K3</f>
        <v>0</v>
      </c>
      <c r="L125" s="13">
        <f>'4.1 Comptes 2023 natures'!L125/'4.1 Comptes 2023 natures'!L3</f>
        <v>79.970217442499404</v>
      </c>
      <c r="M125" s="13">
        <f>'4.1 Comptes 2023 natures'!M125/'4.1 Comptes 2023 natures'!M3</f>
        <v>0</v>
      </c>
      <c r="N125" s="13">
        <f>'4.1 Comptes 2023 natures'!N125/'4.1 Comptes 2023 natures'!N3</f>
        <v>969.67521367521363</v>
      </c>
      <c r="O125" s="13">
        <f>'4.1 Comptes 2023 natures'!O125/'4.1 Comptes 2023 natures'!O3</f>
        <v>166.87870143982613</v>
      </c>
      <c r="P125" s="13">
        <f>'4.1 Comptes 2023 natures'!P125/'4.1 Comptes 2023 natures'!P3</f>
        <v>568.61682242990651</v>
      </c>
      <c r="Q125" s="13">
        <f>'4.1 Comptes 2023 natures'!Q125/'4.1 Comptes 2023 natures'!Q3</f>
        <v>412.25</v>
      </c>
      <c r="R125" s="13">
        <f>'4.1 Comptes 2023 natures'!R125/'4.1 Comptes 2023 natures'!R3</f>
        <v>337.99523809523811</v>
      </c>
      <c r="S125" s="13">
        <f>'4.1 Comptes 2023 natures'!S125/'4.1 Comptes 2023 natures'!S3</f>
        <v>304.60171919770772</v>
      </c>
      <c r="T125" s="13">
        <f>'4.1 Comptes 2023 natures'!T125/'4.1 Comptes 2023 natures'!T3</f>
        <v>0</v>
      </c>
      <c r="U125" s="13">
        <f>'4.1 Comptes 2023 natures'!U125/'4.1 Comptes 2023 natures'!U3</f>
        <v>710.23443223443223</v>
      </c>
      <c r="V125" s="13">
        <f>'4.1 Comptes 2023 natures'!V125/'4.1 Comptes 2023 natures'!V3</f>
        <v>23.531322505800464</v>
      </c>
      <c r="W125" s="13">
        <f>'4.1 Comptes 2023 natures'!W125/'4.1 Comptes 2023 natures'!W3</f>
        <v>220.45640868767208</v>
      </c>
      <c r="X125" s="13">
        <f>'4.1 Comptes 2023 natures'!X125/'4.1 Comptes 2023 natures'!X3</f>
        <v>54.931147540983609</v>
      </c>
      <c r="Y125" s="13">
        <f>'4.1 Comptes 2023 natures'!Y125/'4.1 Comptes 2023 natures'!Y3</f>
        <v>0</v>
      </c>
      <c r="Z125" s="13">
        <f>'4.1 Comptes 2023 natures'!Z125/'4.1 Comptes 2023 natures'!Z3</f>
        <v>17.823386114494518</v>
      </c>
      <c r="AA125" s="13">
        <f>'4.1 Comptes 2023 natures'!AA125/'4.1 Comptes 2023 natures'!AA3</f>
        <v>393.1275167785235</v>
      </c>
      <c r="AB125" s="13">
        <f>'4.1 Comptes 2023 natures'!AB125/'4.1 Comptes 2023 natures'!AB3</f>
        <v>20.858823529411765</v>
      </c>
      <c r="AC125" s="13">
        <f>'4.1 Comptes 2023 natures'!AC125/'4.1 Comptes 2023 natures'!AC3</f>
        <v>226.91830985915493</v>
      </c>
      <c r="AD125" s="13">
        <f>'4.1 Comptes 2023 natures'!AD125/'4.1 Comptes 2023 natures'!AD3</f>
        <v>147.87279151943463</v>
      </c>
      <c r="AE125" s="13">
        <f>'4.1 Comptes 2023 natures'!AE125/'4.1 Comptes 2023 natures'!AE3</f>
        <v>0</v>
      </c>
      <c r="AF125" s="13">
        <f>'4.1 Comptes 2023 natures'!AF125/'4.1 Comptes 2023 natures'!AF3</f>
        <v>0</v>
      </c>
      <c r="AG125" s="13">
        <f>'4.1 Comptes 2023 natures'!AG125/'4.1 Comptes 2023 natures'!AG3</f>
        <v>94.460280373831779</v>
      </c>
      <c r="AH125" s="13">
        <f>'4.1 Comptes 2023 natures'!AH125/'4.1 Comptes 2023 natures'!AH3</f>
        <v>715.00418410041846</v>
      </c>
      <c r="AI125" s="13">
        <f>'4.1 Comptes 2023 natures'!AI125/'4.1 Comptes 2023 natures'!AI3</f>
        <v>393.77600000000001</v>
      </c>
      <c r="AJ125" s="13">
        <f>'4.1 Comptes 2023 natures'!AJ125/'4.1 Comptes 2023 natures'!AJ3</f>
        <v>0</v>
      </c>
      <c r="AK125" s="13">
        <f>'4.1 Comptes 2023 natures'!AK125/'4.1 Comptes 2023 natures'!AK3</f>
        <v>425.44444444444446</v>
      </c>
      <c r="AL125" s="13">
        <f>'4.1 Comptes 2023 natures'!AL125/'4.1 Comptes 2023 natures'!AL3</f>
        <v>480.89775561097258</v>
      </c>
      <c r="AM125" s="13">
        <f>'4.1 Comptes 2023 natures'!AM125/'4.1 Comptes 2023 natures'!AM3</f>
        <v>195.51785714285714</v>
      </c>
      <c r="AN125" s="13">
        <f>'4.1 Comptes 2023 natures'!AN125/'4.1 Comptes 2023 natures'!AN3</f>
        <v>0</v>
      </c>
      <c r="AO125" s="13">
        <f>'4.1 Comptes 2023 natures'!AO125/'4.1 Comptes 2023 natures'!AO3</f>
        <v>0</v>
      </c>
      <c r="AP125" s="13">
        <f>'4.1 Comptes 2023 natures'!AP125/'4.1 Comptes 2023 natures'!AP3</f>
        <v>176.31220285261489</v>
      </c>
      <c r="AQ125" s="13">
        <f>'4.1 Comptes 2023 natures'!AQ125/'4.1 Comptes 2023 natures'!AQ3</f>
        <v>371.40494590417313</v>
      </c>
      <c r="AR125" s="13">
        <f>'4.1 Comptes 2023 natures'!AR125/'4.1 Comptes 2023 natures'!AR3</f>
        <v>234.66851595006935</v>
      </c>
      <c r="AS125" s="13">
        <f>'4.1 Comptes 2023 natures'!AS125/'4.1 Comptes 2023 natures'!AS3</f>
        <v>183.02830188679246</v>
      </c>
      <c r="AT125" s="13">
        <f>'4.1 Comptes 2023 natures'!AT125/'4.1 Comptes 2023 natures'!AT3</f>
        <v>637.41401273885356</v>
      </c>
      <c r="AU125" s="13">
        <f>'4.1 Comptes 2023 natures'!AU125/'4.1 Comptes 2023 natures'!AU3</f>
        <v>0</v>
      </c>
      <c r="AV125" s="13">
        <f>'4.1 Comptes 2023 natures'!AV125/'4.1 Comptes 2023 natures'!AV3</f>
        <v>0</v>
      </c>
      <c r="AW125" s="13">
        <f>'4.1 Comptes 2023 natures'!AW125/'4.1 Comptes 2023 natures'!AW3</f>
        <v>1594.8347107438017</v>
      </c>
      <c r="AX125" s="13">
        <f>'4.1 Comptes 2023 natures'!AX125/'4.1 Comptes 2023 natures'!AX3</f>
        <v>358.22891566265059</v>
      </c>
      <c r="AY125" s="13">
        <f>'4.1 Comptes 2023 natures'!AY125/'4.1 Comptes 2023 natures'!AY3</f>
        <v>117.13964784456587</v>
      </c>
      <c r="AZ125" s="13">
        <f>'4.1 Comptes 2023 natures'!AZ125/'4.1 Comptes 2023 natures'!AZ3</f>
        <v>463.42782152230973</v>
      </c>
      <c r="BA125" s="13">
        <f>'4.1 Comptes 2023 natures'!BA125/'4.1 Comptes 2023 natures'!BA3</f>
        <v>0</v>
      </c>
      <c r="BB125" s="13">
        <f>'4.1 Comptes 2023 natures'!BB125/'4.1 Comptes 2023 natures'!BB3</f>
        <v>64.251196788365405</v>
      </c>
      <c r="BC125" s="13">
        <f>'4.1 Comptes 2023 natures'!BC125/'4.1 Comptes 2023 natures'!BC3</f>
        <v>292.91773308957954</v>
      </c>
      <c r="BD125" s="13">
        <f>'4.1 Comptes 2023 natures'!BD125/'4.1 Comptes 2023 natures'!BD3</f>
        <v>139.79158059237002</v>
      </c>
      <c r="BE125" s="13">
        <f>'4.1 Comptes 2023 natures'!BE125/'4.1 Comptes 2023 natures'!BE3</f>
        <v>143.94053454362077</v>
      </c>
      <c r="BF125" s="13">
        <f>'4.1 Comptes 2023 natures'!BF125/'4.1 Comptes 2023 natures'!BF3</f>
        <v>78.124014813408039</v>
      </c>
      <c r="BG125" s="13">
        <f>'4.1 Comptes 2023 natures'!BG125/'4.1 Comptes 2023 natures'!BG3</f>
        <v>159.69853224945601</v>
      </c>
    </row>
    <row r="126" spans="2:59" x14ac:dyDescent="0.2">
      <c r="C126" s="8">
        <v>463</v>
      </c>
      <c r="D126" s="8" t="s">
        <v>174</v>
      </c>
      <c r="E126" s="13">
        <f>'4.1 Comptes 2023 natures'!E126/'4.1 Comptes 2023 natures'!E3</f>
        <v>106.59214360041624</v>
      </c>
      <c r="F126" s="13">
        <f>'4.1 Comptes 2023 natures'!F126/'4.1 Comptes 2023 natures'!F3</f>
        <v>231.694061302682</v>
      </c>
      <c r="G126" s="13">
        <f>'4.1 Comptes 2023 natures'!G126/'4.1 Comptes 2023 natures'!G3</f>
        <v>69.972226720647768</v>
      </c>
      <c r="H126" s="13">
        <f>'4.1 Comptes 2023 natures'!H126/'4.1 Comptes 2023 natures'!H3</f>
        <v>5.2164044943820231</v>
      </c>
      <c r="I126" s="13">
        <f>'4.1 Comptes 2023 natures'!I126/'4.1 Comptes 2023 natures'!I3</f>
        <v>51.298377420234523</v>
      </c>
      <c r="J126" s="13">
        <f>'4.1 Comptes 2023 natures'!J126/'4.1 Comptes 2023 natures'!J3</f>
        <v>97.319676089517074</v>
      </c>
      <c r="K126" s="13">
        <f>'4.1 Comptes 2023 natures'!K126/'4.1 Comptes 2023 natures'!K3</f>
        <v>61.101762114537451</v>
      </c>
      <c r="L126" s="13">
        <f>'4.1 Comptes 2023 natures'!L126/'4.1 Comptes 2023 natures'!L3</f>
        <v>173.04477745505926</v>
      </c>
      <c r="M126" s="13">
        <f>'4.1 Comptes 2023 natures'!M126/'4.1 Comptes 2023 natures'!M3</f>
        <v>100.68862973760932</v>
      </c>
      <c r="N126" s="13">
        <f>'4.1 Comptes 2023 natures'!N126/'4.1 Comptes 2023 natures'!N3</f>
        <v>89.227777777777774</v>
      </c>
      <c r="O126" s="13">
        <f>'4.1 Comptes 2023 natures'!O126/'4.1 Comptes 2023 natures'!O3</f>
        <v>89.535274381961415</v>
      </c>
      <c r="P126" s="13">
        <f>'4.1 Comptes 2023 natures'!P126/'4.1 Comptes 2023 natures'!P3</f>
        <v>56.787570093457944</v>
      </c>
      <c r="Q126" s="13">
        <f>'4.1 Comptes 2023 natures'!Q126/'4.1 Comptes 2023 natures'!Q3</f>
        <v>49.932589285714286</v>
      </c>
      <c r="R126" s="13">
        <f>'4.1 Comptes 2023 natures'!R126/'4.1 Comptes 2023 natures'!R3</f>
        <v>59.845476190476184</v>
      </c>
      <c r="S126" s="13">
        <f>'4.1 Comptes 2023 natures'!S126/'4.1 Comptes 2023 natures'!S3</f>
        <v>66.130659025787963</v>
      </c>
      <c r="T126" s="13">
        <f>'4.1 Comptes 2023 natures'!T126/'4.1 Comptes 2023 natures'!T3</f>
        <v>42.048840381991816</v>
      </c>
      <c r="U126" s="13">
        <f>'4.1 Comptes 2023 natures'!U126/'4.1 Comptes 2023 natures'!U3</f>
        <v>79.195787545787553</v>
      </c>
      <c r="V126" s="13">
        <f>'4.1 Comptes 2023 natures'!V126/'4.1 Comptes 2023 natures'!V3</f>
        <v>174.62111368909513</v>
      </c>
      <c r="W126" s="13">
        <f>'4.1 Comptes 2023 natures'!W126/'4.1 Comptes 2023 natures'!W3</f>
        <v>84.601498929336188</v>
      </c>
      <c r="X126" s="13">
        <f>'4.1 Comptes 2023 natures'!X126/'4.1 Comptes 2023 natures'!X3</f>
        <v>209.77819672131147</v>
      </c>
      <c r="Y126" s="13">
        <f>'4.1 Comptes 2023 natures'!Y126/'4.1 Comptes 2023 natures'!Y3</f>
        <v>54.991373801916929</v>
      </c>
      <c r="Z126" s="13">
        <f>'4.1 Comptes 2023 natures'!Z126/'4.1 Comptes 2023 natures'!Z3</f>
        <v>244.62576126674787</v>
      </c>
      <c r="AA126" s="13">
        <f>'4.1 Comptes 2023 natures'!AA126/'4.1 Comptes 2023 natures'!AA3</f>
        <v>161.31845637583893</v>
      </c>
      <c r="AB126" s="13">
        <f>'4.1 Comptes 2023 natures'!AB126/'4.1 Comptes 2023 natures'!AB3</f>
        <v>268.42823529411766</v>
      </c>
      <c r="AC126" s="13">
        <f>'4.1 Comptes 2023 natures'!AC126/'4.1 Comptes 2023 natures'!AC3</f>
        <v>114.49197183098592</v>
      </c>
      <c r="AD126" s="13">
        <f>'4.1 Comptes 2023 natures'!AD126/'4.1 Comptes 2023 natures'!AD3</f>
        <v>191.00777385159009</v>
      </c>
      <c r="AE126" s="13">
        <f>'4.1 Comptes 2023 natures'!AE126/'4.1 Comptes 2023 natures'!AE3</f>
        <v>739.53690944881885</v>
      </c>
      <c r="AF126" s="13">
        <f>'4.1 Comptes 2023 natures'!AF126/'4.1 Comptes 2023 natures'!AF3</f>
        <v>145.16107307102706</v>
      </c>
      <c r="AG126" s="13">
        <f>'4.1 Comptes 2023 natures'!AG126/'4.1 Comptes 2023 natures'!AG3</f>
        <v>294.40959890965729</v>
      </c>
      <c r="AH126" s="13">
        <f>'4.1 Comptes 2023 natures'!AH126/'4.1 Comptes 2023 natures'!AH3</f>
        <v>101.09707112970712</v>
      </c>
      <c r="AI126" s="13">
        <f>'4.1 Comptes 2023 natures'!AI126/'4.1 Comptes 2023 natures'!AI3</f>
        <v>146.86864000000003</v>
      </c>
      <c r="AJ126" s="13">
        <f>'4.1 Comptes 2023 natures'!AJ126/'4.1 Comptes 2023 natures'!AJ3</f>
        <v>65.855191400104886</v>
      </c>
      <c r="AK126" s="13">
        <f>'4.1 Comptes 2023 natures'!AK126/'4.1 Comptes 2023 natures'!AK3</f>
        <v>224.21649029982365</v>
      </c>
      <c r="AL126" s="13">
        <f>'4.1 Comptes 2023 natures'!AL126/'4.1 Comptes 2023 natures'!AL3</f>
        <v>174.56940980881132</v>
      </c>
      <c r="AM126" s="13">
        <f>'4.1 Comptes 2023 natures'!AM126/'4.1 Comptes 2023 natures'!AM3</f>
        <v>209.21964285714284</v>
      </c>
      <c r="AN126" s="13">
        <f>'4.1 Comptes 2023 natures'!AN126/'4.1 Comptes 2023 natures'!AN3</f>
        <v>68.666310845431255</v>
      </c>
      <c r="AO126" s="13">
        <f>'4.1 Comptes 2023 natures'!AO126/'4.1 Comptes 2023 natures'!AO3</f>
        <v>84.80022900763359</v>
      </c>
      <c r="AP126" s="13">
        <f>'4.1 Comptes 2023 natures'!AP126/'4.1 Comptes 2023 natures'!AP3</f>
        <v>188.86177496038036</v>
      </c>
      <c r="AQ126" s="13">
        <f>'4.1 Comptes 2023 natures'!AQ126/'4.1 Comptes 2023 natures'!AQ3</f>
        <v>147.04766615146832</v>
      </c>
      <c r="AR126" s="13">
        <f>'4.1 Comptes 2023 natures'!AR126/'4.1 Comptes 2023 natures'!AR3</f>
        <v>120.93911234396673</v>
      </c>
      <c r="AS126" s="13">
        <f>'4.1 Comptes 2023 natures'!AS126/'4.1 Comptes 2023 natures'!AS3</f>
        <v>453.09528301886792</v>
      </c>
      <c r="AT126" s="13">
        <f>'4.1 Comptes 2023 natures'!AT126/'4.1 Comptes 2023 natures'!AT3</f>
        <v>90.753407643312102</v>
      </c>
      <c r="AU126" s="13">
        <f>'4.1 Comptes 2023 natures'!AU126/'4.1 Comptes 2023 natures'!AU3</f>
        <v>64.527639624949032</v>
      </c>
      <c r="AV126" s="13">
        <f>'4.1 Comptes 2023 natures'!AV126/'4.1 Comptes 2023 natures'!AV3</f>
        <v>132.38714470284236</v>
      </c>
      <c r="AW126" s="13">
        <f>'4.1 Comptes 2023 natures'!AW126/'4.1 Comptes 2023 natures'!AW3</f>
        <v>116.02809917355371</v>
      </c>
      <c r="AX126" s="13">
        <f>'4.1 Comptes 2023 natures'!AX126/'4.1 Comptes 2023 natures'!AX3</f>
        <v>107.34156626506025</v>
      </c>
      <c r="AY126" s="13">
        <f>'4.1 Comptes 2023 natures'!AY126/'4.1 Comptes 2023 natures'!AY3</f>
        <v>91.991378263509404</v>
      </c>
      <c r="AZ126" s="13">
        <f>'4.1 Comptes 2023 natures'!AZ126/'4.1 Comptes 2023 natures'!AZ3</f>
        <v>64.030446194225718</v>
      </c>
      <c r="BA126" s="13">
        <f>'4.1 Comptes 2023 natures'!BA126/'4.1 Comptes 2023 natures'!BA3</f>
        <v>66.325023651844845</v>
      </c>
      <c r="BB126" s="13">
        <f>'4.1 Comptes 2023 natures'!BB126/'4.1 Comptes 2023 natures'!BB3</f>
        <v>138.6209256173307</v>
      </c>
      <c r="BC126" s="13">
        <f>'4.1 Comptes 2023 natures'!BC126/'4.1 Comptes 2023 natures'!BC3</f>
        <v>155.68272394881168</v>
      </c>
      <c r="BD126" s="13">
        <f>'4.1 Comptes 2023 natures'!BD126/'4.1 Comptes 2023 natures'!BD3</f>
        <v>133.71267398186407</v>
      </c>
      <c r="BE126" s="13">
        <f>'4.1 Comptes 2023 natures'!BE126/'4.1 Comptes 2023 natures'!BE3</f>
        <v>110.57640090771559</v>
      </c>
      <c r="BF126" s="13">
        <f>'4.1 Comptes 2023 natures'!BF126/'4.1 Comptes 2023 natures'!BF3</f>
        <v>222.50225049852818</v>
      </c>
      <c r="BG126" s="13">
        <f>'4.1 Comptes 2023 natures'!BG126/'4.1 Comptes 2023 natures'!BG3</f>
        <v>132.99590097302624</v>
      </c>
    </row>
    <row r="127" spans="2:59" x14ac:dyDescent="0.2">
      <c r="C127" s="8">
        <v>469</v>
      </c>
      <c r="D127" s="8" t="s">
        <v>175</v>
      </c>
      <c r="E127" s="13">
        <f>'4.1 Comptes 2023 natures'!E127/'4.1 Comptes 2023 natures'!E3</f>
        <v>0.26331945889698233</v>
      </c>
      <c r="F127" s="13">
        <f>'4.1 Comptes 2023 natures'!F127/'4.1 Comptes 2023 natures'!F3</f>
        <v>8.1226053639846738E-2</v>
      </c>
      <c r="G127" s="13">
        <f>'4.1 Comptes 2023 natures'!G127/'4.1 Comptes 2023 natures'!G3</f>
        <v>0</v>
      </c>
      <c r="H127" s="13">
        <f>'4.1 Comptes 2023 natures'!H127/'4.1 Comptes 2023 natures'!H3</f>
        <v>0.26</v>
      </c>
      <c r="I127" s="13">
        <f>'4.1 Comptes 2023 natures'!I127/'4.1 Comptes 2023 natures'!I3</f>
        <v>0.53301063539678206</v>
      </c>
      <c r="J127" s="13">
        <f>'4.1 Comptes 2023 natures'!J127/'4.1 Comptes 2023 natures'!J3</f>
        <v>0.47685512367491167</v>
      </c>
      <c r="K127" s="13">
        <f>'4.1 Comptes 2023 natures'!K127/'4.1 Comptes 2023 natures'!K3</f>
        <v>0.19241923641703376</v>
      </c>
      <c r="L127" s="13">
        <f>'4.1 Comptes 2023 natures'!L127/'4.1 Comptes 2023 natures'!L3</f>
        <v>597.40527199937196</v>
      </c>
      <c r="M127" s="13">
        <f>'4.1 Comptes 2023 natures'!M127/'4.1 Comptes 2023 natures'!M3</f>
        <v>263.36577988338189</v>
      </c>
      <c r="N127" s="13">
        <f>'4.1 Comptes 2023 natures'!N127/'4.1 Comptes 2023 natures'!N3</f>
        <v>0</v>
      </c>
      <c r="O127" s="13">
        <f>'4.1 Comptes 2023 natures'!O127/'4.1 Comptes 2023 natures'!O3</f>
        <v>3.6911572942135287</v>
      </c>
      <c r="P127" s="13">
        <f>'4.1 Comptes 2023 natures'!P127/'4.1 Comptes 2023 natures'!P3</f>
        <v>0</v>
      </c>
      <c r="Q127" s="13">
        <f>'4.1 Comptes 2023 natures'!Q127/'4.1 Comptes 2023 natures'!Q3</f>
        <v>0.21517857142857144</v>
      </c>
      <c r="R127" s="13">
        <f>'4.1 Comptes 2023 natures'!R127/'4.1 Comptes 2023 natures'!R3</f>
        <v>0.30583333333333329</v>
      </c>
      <c r="S127" s="13">
        <f>'4.1 Comptes 2023 natures'!S127/'4.1 Comptes 2023 natures'!S3</f>
        <v>0.1989971346704871</v>
      </c>
      <c r="T127" s="13">
        <f>'4.1 Comptes 2023 natures'!T127/'4.1 Comptes 2023 natures'!T3</f>
        <v>0.18158253751705319</v>
      </c>
      <c r="U127" s="13">
        <f>'4.1 Comptes 2023 natures'!U127/'4.1 Comptes 2023 natures'!U3</f>
        <v>0.22728937728937729</v>
      </c>
      <c r="V127" s="13">
        <f>'4.1 Comptes 2023 natures'!V127/'4.1 Comptes 2023 natures'!V3</f>
        <v>0.43619489559164731</v>
      </c>
      <c r="W127" s="13">
        <f>'4.1 Comptes 2023 natures'!W127/'4.1 Comptes 2023 natures'!W3</f>
        <v>0.38019271948608135</v>
      </c>
      <c r="X127" s="13">
        <f>'4.1 Comptes 2023 natures'!X127/'4.1 Comptes 2023 natures'!X3</f>
        <v>4.338852459016393</v>
      </c>
      <c r="Y127" s="13">
        <f>'4.1 Comptes 2023 natures'!Y127/'4.1 Comptes 2023 natures'!Y3</f>
        <v>2.2445287539936105</v>
      </c>
      <c r="Z127" s="13">
        <f>'4.1 Comptes 2023 natures'!Z127/'4.1 Comptes 2023 natures'!Z3</f>
        <v>0.55822168087697932</v>
      </c>
      <c r="AA127" s="13">
        <f>'4.1 Comptes 2023 natures'!AA127/'4.1 Comptes 2023 natures'!AA3</f>
        <v>3.3728187919463086</v>
      </c>
      <c r="AB127" s="13">
        <f>'4.1 Comptes 2023 natures'!AB127/'4.1 Comptes 2023 natures'!AB3</f>
        <v>3.6494117647058824</v>
      </c>
      <c r="AC127" s="13">
        <f>'4.1 Comptes 2023 natures'!AC127/'4.1 Comptes 2023 natures'!AC3</f>
        <v>1.154225352112676</v>
      </c>
      <c r="AD127" s="13">
        <f>'4.1 Comptes 2023 natures'!AD127/'4.1 Comptes 2023 natures'!AD3</f>
        <v>2.8955830388692583</v>
      </c>
      <c r="AE127" s="13">
        <f>'4.1 Comptes 2023 natures'!AE127/'4.1 Comptes 2023 natures'!AE3</f>
        <v>0</v>
      </c>
      <c r="AF127" s="13">
        <f>'4.1 Comptes 2023 natures'!AF127/'4.1 Comptes 2023 natures'!AF3</f>
        <v>2.2206949412365864</v>
      </c>
      <c r="AG127" s="13">
        <f>'4.1 Comptes 2023 natures'!AG127/'4.1 Comptes 2023 natures'!AG3</f>
        <v>0.36567367601246104</v>
      </c>
      <c r="AH127" s="13">
        <f>'4.1 Comptes 2023 natures'!AH127/'4.1 Comptes 2023 natures'!AH3</f>
        <v>2.2537656903765688</v>
      </c>
      <c r="AI127" s="13">
        <f>'4.1 Comptes 2023 natures'!AI127/'4.1 Comptes 2023 natures'!AI3</f>
        <v>2.3611999999999997</v>
      </c>
      <c r="AJ127" s="13">
        <f>'4.1 Comptes 2023 natures'!AJ127/'4.1 Comptes 2023 natures'!AJ3</f>
        <v>0.84695857367593086</v>
      </c>
      <c r="AK127" s="13">
        <f>'4.1 Comptes 2023 natures'!AK127/'4.1 Comptes 2023 natures'!AK3</f>
        <v>19.104717813051145</v>
      </c>
      <c r="AL127" s="13">
        <f>'4.1 Comptes 2023 natures'!AL127/'4.1 Comptes 2023 natures'!AL3</f>
        <v>8.9518287614297591</v>
      </c>
      <c r="AM127" s="13">
        <f>'4.1 Comptes 2023 natures'!AM127/'4.1 Comptes 2023 natures'!AM3</f>
        <v>4.2986607142857141</v>
      </c>
      <c r="AN127" s="13">
        <f>'4.1 Comptes 2023 natures'!AN127/'4.1 Comptes 2023 natures'!AN3</f>
        <v>0.62335610589239965</v>
      </c>
      <c r="AO127" s="13">
        <f>'4.1 Comptes 2023 natures'!AO127/'4.1 Comptes 2023 natures'!AO3</f>
        <v>3.3352671755725187</v>
      </c>
      <c r="AP127" s="13">
        <f>'4.1 Comptes 2023 natures'!AP127/'4.1 Comptes 2023 natures'!AP3</f>
        <v>8.6723454833597469</v>
      </c>
      <c r="AQ127" s="13">
        <f>'4.1 Comptes 2023 natures'!AQ127/'4.1 Comptes 2023 natures'!AQ3</f>
        <v>10.592812982998455</v>
      </c>
      <c r="AR127" s="13">
        <f>'4.1 Comptes 2023 natures'!AR127/'4.1 Comptes 2023 natures'!AR3</f>
        <v>2.0733703190013872</v>
      </c>
      <c r="AS127" s="13">
        <f>'4.1 Comptes 2023 natures'!AS127/'4.1 Comptes 2023 natures'!AS3</f>
        <v>0.99198113207547167</v>
      </c>
      <c r="AT127" s="13">
        <f>'4.1 Comptes 2023 natures'!AT127/'4.1 Comptes 2023 natures'!AT3</f>
        <v>4.5078025477707007</v>
      </c>
      <c r="AU127" s="13">
        <f>'4.1 Comptes 2023 natures'!AU127/'4.1 Comptes 2023 natures'!AU3</f>
        <v>0.78603750509580106</v>
      </c>
      <c r="AV127" s="13">
        <f>'4.1 Comptes 2023 natures'!AV127/'4.1 Comptes 2023 natures'!AV3</f>
        <v>1.3581395348837211</v>
      </c>
      <c r="AW127" s="13">
        <f>'4.1 Comptes 2023 natures'!AW127/'4.1 Comptes 2023 natures'!AW3</f>
        <v>13.100275482093663</v>
      </c>
      <c r="AX127" s="13">
        <f>'4.1 Comptes 2023 natures'!AX127/'4.1 Comptes 2023 natures'!AX3</f>
        <v>8.6423192771084345</v>
      </c>
      <c r="AY127" s="13">
        <f>'4.1 Comptes 2023 natures'!AY127/'4.1 Comptes 2023 natures'!AY3</f>
        <v>1.9931086824529447</v>
      </c>
      <c r="AZ127" s="13">
        <f>'4.1 Comptes 2023 natures'!AZ127/'4.1 Comptes 2023 natures'!AZ3</f>
        <v>117.67826771653543</v>
      </c>
      <c r="BA127" s="13">
        <f>'4.1 Comptes 2023 natures'!BA127/'4.1 Comptes 2023 natures'!BA3</f>
        <v>0.6487701040681173</v>
      </c>
      <c r="BB127" s="13">
        <f>'4.1 Comptes 2023 natures'!BB127/'4.1 Comptes 2023 natures'!BB3</f>
        <v>13.804703832752613</v>
      </c>
      <c r="BC127" s="13">
        <f>'4.1 Comptes 2023 natures'!BC127/'4.1 Comptes 2023 natures'!BC3</f>
        <v>11.597623400365631</v>
      </c>
      <c r="BD127" s="13">
        <f>'4.1 Comptes 2023 natures'!BD127/'4.1 Comptes 2023 natures'!BD3</f>
        <v>110.51467081611848</v>
      </c>
      <c r="BE127" s="13">
        <f>'4.1 Comptes 2023 natures'!BE127/'4.1 Comptes 2023 natures'!BE3</f>
        <v>201.84553605648003</v>
      </c>
      <c r="BF127" s="13">
        <f>'4.1 Comptes 2023 natures'!BF127/'4.1 Comptes 2023 natures'!BF3</f>
        <v>1.5184692811698792</v>
      </c>
      <c r="BG127" s="13">
        <f>'4.1 Comptes 2023 natures'!BG127/'4.1 Comptes 2023 natures'!BG3</f>
        <v>8.928140575604548</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22">F130</f>
        <v>0</v>
      </c>
      <c r="G129" s="78">
        <f t="shared" si="22"/>
        <v>0</v>
      </c>
      <c r="H129" s="78">
        <f t="shared" si="22"/>
        <v>0</v>
      </c>
      <c r="I129" s="78">
        <f t="shared" si="22"/>
        <v>0</v>
      </c>
      <c r="J129" s="78">
        <f t="shared" si="22"/>
        <v>0</v>
      </c>
      <c r="K129" s="78">
        <f t="shared" si="22"/>
        <v>0</v>
      </c>
      <c r="L129" s="78">
        <f t="shared" si="22"/>
        <v>0</v>
      </c>
      <c r="M129" s="78">
        <f t="shared" si="22"/>
        <v>0</v>
      </c>
      <c r="N129" s="78">
        <f t="shared" si="22"/>
        <v>0</v>
      </c>
      <c r="O129" s="78">
        <f t="shared" si="22"/>
        <v>0</v>
      </c>
      <c r="P129" s="78">
        <f t="shared" si="22"/>
        <v>0</v>
      </c>
      <c r="Q129" s="78">
        <f t="shared" si="22"/>
        <v>0</v>
      </c>
      <c r="R129" s="78">
        <f t="shared" si="22"/>
        <v>0</v>
      </c>
      <c r="S129" s="78">
        <f t="shared" si="22"/>
        <v>0</v>
      </c>
      <c r="T129" s="78">
        <f t="shared" si="22"/>
        <v>0</v>
      </c>
      <c r="U129" s="78">
        <f t="shared" si="22"/>
        <v>0</v>
      </c>
      <c r="V129" s="78">
        <f t="shared" si="22"/>
        <v>0</v>
      </c>
      <c r="W129" s="78">
        <f t="shared" si="22"/>
        <v>0</v>
      </c>
      <c r="X129" s="78">
        <f t="shared" si="22"/>
        <v>1528.2457377049182</v>
      </c>
      <c r="Y129" s="78">
        <f t="shared" si="22"/>
        <v>0</v>
      </c>
      <c r="Z129" s="78">
        <f t="shared" si="22"/>
        <v>356.54652862362974</v>
      </c>
      <c r="AA129" s="78">
        <f t="shared" si="22"/>
        <v>1313.10033557047</v>
      </c>
      <c r="AB129" s="78">
        <f t="shared" si="22"/>
        <v>308.1913725490196</v>
      </c>
      <c r="AC129" s="78">
        <f t="shared" si="22"/>
        <v>0</v>
      </c>
      <c r="AD129" s="78">
        <f t="shared" si="22"/>
        <v>440.35512367491168</v>
      </c>
      <c r="AE129" s="78">
        <f t="shared" si="22"/>
        <v>1198.1287401574803</v>
      </c>
      <c r="AF129" s="78">
        <f t="shared" si="22"/>
        <v>213.42284108329076</v>
      </c>
      <c r="AG129" s="78">
        <f t="shared" si="22"/>
        <v>0</v>
      </c>
      <c r="AH129" s="78">
        <f t="shared" si="22"/>
        <v>11.98326359832636</v>
      </c>
      <c r="AI129" s="78">
        <f t="shared" si="22"/>
        <v>0</v>
      </c>
      <c r="AJ129" s="78">
        <f t="shared" si="22"/>
        <v>0</v>
      </c>
      <c r="AK129" s="78">
        <f t="shared" si="22"/>
        <v>0</v>
      </c>
      <c r="AL129" s="78">
        <f t="shared" si="22"/>
        <v>0</v>
      </c>
      <c r="AM129" s="78">
        <f t="shared" si="22"/>
        <v>0</v>
      </c>
      <c r="AN129" s="78">
        <f t="shared" si="22"/>
        <v>0</v>
      </c>
      <c r="AO129" s="78">
        <f t="shared" si="22"/>
        <v>0</v>
      </c>
      <c r="AP129" s="78">
        <f t="shared" si="22"/>
        <v>0</v>
      </c>
      <c r="AQ129" s="78">
        <f t="shared" si="22"/>
        <v>39.554057187017001</v>
      </c>
      <c r="AR129" s="78">
        <f t="shared" si="22"/>
        <v>0</v>
      </c>
      <c r="AS129" s="78">
        <f t="shared" si="22"/>
        <v>0</v>
      </c>
      <c r="AT129" s="78">
        <f t="shared" si="22"/>
        <v>0</v>
      </c>
      <c r="AU129" s="78">
        <f t="shared" si="22"/>
        <v>32.544904198940074</v>
      </c>
      <c r="AV129" s="78">
        <f t="shared" si="22"/>
        <v>12.480620155038761</v>
      </c>
      <c r="AW129" s="78">
        <f t="shared" si="22"/>
        <v>0</v>
      </c>
      <c r="AX129" s="78">
        <f t="shared" si="22"/>
        <v>0</v>
      </c>
      <c r="AY129" s="78">
        <f t="shared" si="22"/>
        <v>0</v>
      </c>
      <c r="AZ129" s="78">
        <f t="shared" si="22"/>
        <v>0</v>
      </c>
      <c r="BA129" s="78">
        <f t="shared" si="22"/>
        <v>0</v>
      </c>
      <c r="BB129" s="78">
        <f t="shared" si="22"/>
        <v>0</v>
      </c>
      <c r="BC129" s="78">
        <f t="shared" si="22"/>
        <v>0</v>
      </c>
      <c r="BD129" s="78">
        <f t="shared" si="22"/>
        <v>37.874824274293076</v>
      </c>
      <c r="BE129" s="78">
        <f t="shared" si="22"/>
        <v>0</v>
      </c>
      <c r="BF129" s="78">
        <f t="shared" si="22"/>
        <v>254.75423036748649</v>
      </c>
      <c r="BG129" s="78">
        <f t="shared" si="22"/>
        <v>5.7755717042328687</v>
      </c>
    </row>
    <row r="130" spans="2:59" x14ac:dyDescent="0.2">
      <c r="C130" s="8">
        <v>470</v>
      </c>
      <c r="D130" s="8" t="s">
        <v>176</v>
      </c>
      <c r="E130" s="13">
        <f>'4.1 Comptes 2023 natures'!E130/'4.1 Comptes 2023 natures'!E3</f>
        <v>0</v>
      </c>
      <c r="F130" s="13">
        <f>'4.1 Comptes 2023 natures'!F130/'4.1 Comptes 2023 natures'!F3</f>
        <v>0</v>
      </c>
      <c r="G130" s="13">
        <f>'4.1 Comptes 2023 natures'!G130/'4.1 Comptes 2023 natures'!G3</f>
        <v>0</v>
      </c>
      <c r="H130" s="13">
        <f>'4.1 Comptes 2023 natures'!H130/'4.1 Comptes 2023 natures'!H3</f>
        <v>0</v>
      </c>
      <c r="I130" s="13">
        <f>'4.1 Comptes 2023 natures'!I130/'4.1 Comptes 2023 natures'!I3</f>
        <v>0</v>
      </c>
      <c r="J130" s="13">
        <f>'4.1 Comptes 2023 natures'!J130/'4.1 Comptes 2023 natures'!J3</f>
        <v>0</v>
      </c>
      <c r="K130" s="13">
        <f>'4.1 Comptes 2023 natures'!K130/'4.1 Comptes 2023 natures'!K3</f>
        <v>0</v>
      </c>
      <c r="L130" s="13">
        <f>'4.1 Comptes 2023 natures'!L130/'4.1 Comptes 2023 natures'!L3</f>
        <v>0</v>
      </c>
      <c r="M130" s="13">
        <f>'4.1 Comptes 2023 natures'!M130/'4.1 Comptes 2023 natures'!M3</f>
        <v>0</v>
      </c>
      <c r="N130" s="13">
        <f>'4.1 Comptes 2023 natures'!N130/'4.1 Comptes 2023 natures'!N3</f>
        <v>0</v>
      </c>
      <c r="O130" s="13">
        <f>'4.1 Comptes 2023 natures'!O130/'4.1 Comptes 2023 natures'!O3</f>
        <v>0</v>
      </c>
      <c r="P130" s="13">
        <f>'4.1 Comptes 2023 natures'!P130/'4.1 Comptes 2023 natures'!P3</f>
        <v>0</v>
      </c>
      <c r="Q130" s="13">
        <f>'4.1 Comptes 2023 natures'!Q130/'4.1 Comptes 2023 natures'!Q3</f>
        <v>0</v>
      </c>
      <c r="R130" s="13">
        <f>'4.1 Comptes 2023 natures'!R130/'4.1 Comptes 2023 natures'!R3</f>
        <v>0</v>
      </c>
      <c r="S130" s="13">
        <f>'4.1 Comptes 2023 natures'!S130/'4.1 Comptes 2023 natures'!S3</f>
        <v>0</v>
      </c>
      <c r="T130" s="13">
        <f>'4.1 Comptes 2023 natures'!T130/'4.1 Comptes 2023 natures'!T3</f>
        <v>0</v>
      </c>
      <c r="U130" s="13">
        <f>'4.1 Comptes 2023 natures'!U130/'4.1 Comptes 2023 natures'!U3</f>
        <v>0</v>
      </c>
      <c r="V130" s="13">
        <f>'4.1 Comptes 2023 natures'!V130/'4.1 Comptes 2023 natures'!V3</f>
        <v>0</v>
      </c>
      <c r="W130" s="13">
        <f>'4.1 Comptes 2023 natures'!W130/'4.1 Comptes 2023 natures'!W3</f>
        <v>0</v>
      </c>
      <c r="X130" s="13">
        <f>'4.1 Comptes 2023 natures'!X130/'4.1 Comptes 2023 natures'!X3</f>
        <v>1528.2457377049182</v>
      </c>
      <c r="Y130" s="13">
        <f>'4.1 Comptes 2023 natures'!Y130/'4.1 Comptes 2023 natures'!Y3</f>
        <v>0</v>
      </c>
      <c r="Z130" s="13">
        <f>'4.1 Comptes 2023 natures'!Z130/'4.1 Comptes 2023 natures'!Z3</f>
        <v>356.54652862362974</v>
      </c>
      <c r="AA130" s="13">
        <f>'4.1 Comptes 2023 natures'!AA130/'4.1 Comptes 2023 natures'!AA3</f>
        <v>1313.10033557047</v>
      </c>
      <c r="AB130" s="13">
        <f>'4.1 Comptes 2023 natures'!AB130/'4.1 Comptes 2023 natures'!AB3</f>
        <v>308.1913725490196</v>
      </c>
      <c r="AC130" s="13">
        <f>'4.1 Comptes 2023 natures'!AC130/'4.1 Comptes 2023 natures'!AC3</f>
        <v>0</v>
      </c>
      <c r="AD130" s="13">
        <f>'4.1 Comptes 2023 natures'!AD130/'4.1 Comptes 2023 natures'!AD3</f>
        <v>440.35512367491168</v>
      </c>
      <c r="AE130" s="13">
        <f>'4.1 Comptes 2023 natures'!AE130/'4.1 Comptes 2023 natures'!AE3</f>
        <v>1198.1287401574803</v>
      </c>
      <c r="AF130" s="13">
        <f>'4.1 Comptes 2023 natures'!AF130/'4.1 Comptes 2023 natures'!AF3</f>
        <v>213.42284108329076</v>
      </c>
      <c r="AG130" s="13">
        <f>'4.1 Comptes 2023 natures'!AG130/'4.1 Comptes 2023 natures'!AG3</f>
        <v>0</v>
      </c>
      <c r="AH130" s="13">
        <f>'4.1 Comptes 2023 natures'!AH130/'4.1 Comptes 2023 natures'!AH3</f>
        <v>11.98326359832636</v>
      </c>
      <c r="AI130" s="13">
        <f>'4.1 Comptes 2023 natures'!AI130/'4.1 Comptes 2023 natures'!AI3</f>
        <v>0</v>
      </c>
      <c r="AJ130" s="13">
        <f>'4.1 Comptes 2023 natures'!AJ130/'4.1 Comptes 2023 natures'!AJ3</f>
        <v>0</v>
      </c>
      <c r="AK130" s="13">
        <f>'4.1 Comptes 2023 natures'!AK130/'4.1 Comptes 2023 natures'!AK3</f>
        <v>0</v>
      </c>
      <c r="AL130" s="13">
        <f>'4.1 Comptes 2023 natures'!AL130/'4.1 Comptes 2023 natures'!AL3</f>
        <v>0</v>
      </c>
      <c r="AM130" s="13">
        <f>'4.1 Comptes 2023 natures'!AM130/'4.1 Comptes 2023 natures'!AM3</f>
        <v>0</v>
      </c>
      <c r="AN130" s="13">
        <f>'4.1 Comptes 2023 natures'!AN130/'4.1 Comptes 2023 natures'!AN3</f>
        <v>0</v>
      </c>
      <c r="AO130" s="13">
        <f>'4.1 Comptes 2023 natures'!AO130/'4.1 Comptes 2023 natures'!AO3</f>
        <v>0</v>
      </c>
      <c r="AP130" s="13">
        <f>'4.1 Comptes 2023 natures'!AP130/'4.1 Comptes 2023 natures'!AP3</f>
        <v>0</v>
      </c>
      <c r="AQ130" s="13">
        <f>'4.1 Comptes 2023 natures'!AQ130/'4.1 Comptes 2023 natures'!AQ3</f>
        <v>39.554057187017001</v>
      </c>
      <c r="AR130" s="13">
        <f>'4.1 Comptes 2023 natures'!AR130/'4.1 Comptes 2023 natures'!AR3</f>
        <v>0</v>
      </c>
      <c r="AS130" s="13">
        <f>'4.1 Comptes 2023 natures'!AS130/'4.1 Comptes 2023 natures'!AS3</f>
        <v>0</v>
      </c>
      <c r="AT130" s="13">
        <f>'4.1 Comptes 2023 natures'!AT130/'4.1 Comptes 2023 natures'!AT3</f>
        <v>0</v>
      </c>
      <c r="AU130" s="13">
        <f>'4.1 Comptes 2023 natures'!AU130/'4.1 Comptes 2023 natures'!AU3</f>
        <v>32.544904198940074</v>
      </c>
      <c r="AV130" s="13">
        <f>'4.1 Comptes 2023 natures'!AV130/'4.1 Comptes 2023 natures'!AV3</f>
        <v>12.480620155038761</v>
      </c>
      <c r="AW130" s="13">
        <f>'4.1 Comptes 2023 natures'!AW130/'4.1 Comptes 2023 natures'!AW3</f>
        <v>0</v>
      </c>
      <c r="AX130" s="13">
        <f>'4.1 Comptes 2023 natures'!AX130/'4.1 Comptes 2023 natures'!AX3</f>
        <v>0</v>
      </c>
      <c r="AY130" s="13">
        <f>'4.1 Comptes 2023 natures'!AY130/'4.1 Comptes 2023 natures'!AY3</f>
        <v>0</v>
      </c>
      <c r="AZ130" s="13">
        <f>'4.1 Comptes 2023 natures'!AZ130/'4.1 Comptes 2023 natures'!AZ3</f>
        <v>0</v>
      </c>
      <c r="BA130" s="13">
        <f>'4.1 Comptes 2023 natures'!BA130/'4.1 Comptes 2023 natures'!BA3</f>
        <v>0</v>
      </c>
      <c r="BB130" s="13">
        <f>'4.1 Comptes 2023 natures'!BB130/'4.1 Comptes 2023 natures'!BB3</f>
        <v>0</v>
      </c>
      <c r="BC130" s="13">
        <f>'4.1 Comptes 2023 natures'!BC130/'4.1 Comptes 2023 natures'!BC3</f>
        <v>0</v>
      </c>
      <c r="BD130" s="13">
        <f>'4.1 Comptes 2023 natures'!BD130/'4.1 Comptes 2023 natures'!BD3</f>
        <v>37.874824274293076</v>
      </c>
      <c r="BE130" s="13">
        <f>'4.1 Comptes 2023 natures'!BE130/'4.1 Comptes 2023 natures'!BE3</f>
        <v>0</v>
      </c>
      <c r="BF130" s="13">
        <f>'4.1 Comptes 2023 natures'!BF130/'4.1 Comptes 2023 natures'!BF3</f>
        <v>254.75423036748649</v>
      </c>
      <c r="BG130" s="13">
        <f>'4.1 Comptes 2023 natures'!BG130/'4.1 Comptes 2023 natures'!BG3</f>
        <v>5.7755717042328687</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7.7761394380853277</v>
      </c>
      <c r="F132" s="78">
        <f t="shared" ref="F132:BG132" si="23">F133+F134+F135+F136+F137+F138+F139</f>
        <v>0</v>
      </c>
      <c r="G132" s="78">
        <f t="shared" si="23"/>
        <v>0</v>
      </c>
      <c r="H132" s="78">
        <f t="shared" si="23"/>
        <v>5.7807865168539321</v>
      </c>
      <c r="I132" s="78">
        <f t="shared" si="23"/>
        <v>44.901772566130347</v>
      </c>
      <c r="J132" s="78">
        <f t="shared" si="23"/>
        <v>0</v>
      </c>
      <c r="K132" s="78">
        <f t="shared" si="23"/>
        <v>12.121872246696036</v>
      </c>
      <c r="L132" s="78">
        <f t="shared" si="23"/>
        <v>98.430724546667719</v>
      </c>
      <c r="M132" s="78">
        <f t="shared" si="23"/>
        <v>7.7988338192419828</v>
      </c>
      <c r="N132" s="78">
        <f t="shared" si="23"/>
        <v>0</v>
      </c>
      <c r="O132" s="78">
        <f t="shared" si="23"/>
        <v>56.112406954631894</v>
      </c>
      <c r="P132" s="78">
        <f t="shared" si="23"/>
        <v>5.6099065420560752</v>
      </c>
      <c r="Q132" s="78">
        <f t="shared" si="23"/>
        <v>0</v>
      </c>
      <c r="R132" s="78">
        <f t="shared" si="23"/>
        <v>0</v>
      </c>
      <c r="S132" s="78">
        <f t="shared" si="23"/>
        <v>0</v>
      </c>
      <c r="T132" s="78">
        <f t="shared" si="23"/>
        <v>11.869031377899045</v>
      </c>
      <c r="U132" s="78">
        <f t="shared" si="23"/>
        <v>2.445238095238095</v>
      </c>
      <c r="V132" s="78">
        <f t="shared" si="23"/>
        <v>0</v>
      </c>
      <c r="W132" s="78">
        <f t="shared" si="23"/>
        <v>4.069379014989293</v>
      </c>
      <c r="X132" s="78">
        <f t="shared" si="23"/>
        <v>0</v>
      </c>
      <c r="Y132" s="78">
        <f t="shared" si="23"/>
        <v>0</v>
      </c>
      <c r="Z132" s="78">
        <f t="shared" si="23"/>
        <v>22.533495736906211</v>
      </c>
      <c r="AA132" s="78">
        <f t="shared" si="23"/>
        <v>0</v>
      </c>
      <c r="AB132" s="78">
        <f t="shared" si="23"/>
        <v>0</v>
      </c>
      <c r="AC132" s="78">
        <f t="shared" si="23"/>
        <v>7.605633802816902E-3</v>
      </c>
      <c r="AD132" s="78">
        <f t="shared" si="23"/>
        <v>0</v>
      </c>
      <c r="AE132" s="78">
        <f t="shared" si="23"/>
        <v>0</v>
      </c>
      <c r="AF132" s="78">
        <f t="shared" si="23"/>
        <v>0</v>
      </c>
      <c r="AG132" s="78">
        <f t="shared" si="23"/>
        <v>0</v>
      </c>
      <c r="AH132" s="78">
        <f t="shared" si="23"/>
        <v>0</v>
      </c>
      <c r="AI132" s="78">
        <f t="shared" si="23"/>
        <v>0</v>
      </c>
      <c r="AJ132" s="78">
        <f t="shared" si="23"/>
        <v>0</v>
      </c>
      <c r="AK132" s="78">
        <f t="shared" si="23"/>
        <v>0</v>
      </c>
      <c r="AL132" s="78">
        <f t="shared" si="23"/>
        <v>0</v>
      </c>
      <c r="AM132" s="78">
        <f t="shared" si="23"/>
        <v>0</v>
      </c>
      <c r="AN132" s="78">
        <f t="shared" si="23"/>
        <v>0</v>
      </c>
      <c r="AO132" s="78">
        <f t="shared" si="23"/>
        <v>0.92671755725190841</v>
      </c>
      <c r="AP132" s="78">
        <f t="shared" si="23"/>
        <v>0.89857369255150554</v>
      </c>
      <c r="AQ132" s="78">
        <f t="shared" si="23"/>
        <v>0</v>
      </c>
      <c r="AR132" s="78">
        <f t="shared" si="23"/>
        <v>0.58529819694868235</v>
      </c>
      <c r="AS132" s="78">
        <f t="shared" si="23"/>
        <v>0</v>
      </c>
      <c r="AT132" s="78">
        <f t="shared" si="23"/>
        <v>1.0764331210191083</v>
      </c>
      <c r="AU132" s="78">
        <f t="shared" si="23"/>
        <v>0</v>
      </c>
      <c r="AV132" s="78">
        <f t="shared" si="23"/>
        <v>0.81782945736434109</v>
      </c>
      <c r="AW132" s="78">
        <f t="shared" si="23"/>
        <v>1.2176308539944904</v>
      </c>
      <c r="AX132" s="78">
        <f t="shared" si="23"/>
        <v>0.93674698795180722</v>
      </c>
      <c r="AY132" s="78">
        <f t="shared" si="23"/>
        <v>0.9696417729204615</v>
      </c>
      <c r="AZ132" s="78">
        <f t="shared" si="23"/>
        <v>0.83727034120734911</v>
      </c>
      <c r="BA132" s="78">
        <f t="shared" si="23"/>
        <v>1.0249763481551561</v>
      </c>
      <c r="BB132" s="78">
        <f t="shared" si="23"/>
        <v>0</v>
      </c>
      <c r="BC132" s="78">
        <f t="shared" si="23"/>
        <v>1.0786106032906764</v>
      </c>
      <c r="BD132" s="78">
        <f t="shared" si="23"/>
        <v>26.224916697966414</v>
      </c>
      <c r="BE132" s="78">
        <f t="shared" si="23"/>
        <v>48.187097579425121</v>
      </c>
      <c r="BF132" s="78">
        <f t="shared" si="23"/>
        <v>3.513949292564809</v>
      </c>
      <c r="BG132" s="78">
        <f t="shared" si="23"/>
        <v>0.28367204499733134</v>
      </c>
    </row>
    <row r="133" spans="2:59" x14ac:dyDescent="0.2">
      <c r="C133" s="8">
        <v>481</v>
      </c>
      <c r="D133" s="8" t="s">
        <v>178</v>
      </c>
      <c r="E133" s="13">
        <f>'4.1 Comptes 2023 natures'!E133/'4.1 Comptes 2023 natures'!E3</f>
        <v>0</v>
      </c>
      <c r="F133" s="13">
        <f>'4.1 Comptes 2023 natures'!F133/'4.1 Comptes 2023 natures'!F3</f>
        <v>0</v>
      </c>
      <c r="G133" s="13">
        <f>'4.1 Comptes 2023 natures'!G133/'4.1 Comptes 2023 natures'!G3</f>
        <v>0</v>
      </c>
      <c r="H133" s="13">
        <f>'4.1 Comptes 2023 natures'!H133/'4.1 Comptes 2023 natures'!H3</f>
        <v>0</v>
      </c>
      <c r="I133" s="13">
        <f>'4.1 Comptes 2023 natures'!I133/'4.1 Comptes 2023 natures'!I3</f>
        <v>0</v>
      </c>
      <c r="J133" s="13">
        <f>'4.1 Comptes 2023 natures'!J133/'4.1 Comptes 2023 natures'!J3</f>
        <v>0</v>
      </c>
      <c r="K133" s="13">
        <f>'4.1 Comptes 2023 natures'!K133/'4.1 Comptes 2023 natures'!K3</f>
        <v>0</v>
      </c>
      <c r="L133" s="13">
        <f>'4.1 Comptes 2023 natures'!L133/'4.1 Comptes 2023 natures'!L3</f>
        <v>0</v>
      </c>
      <c r="M133" s="13">
        <f>'4.1 Comptes 2023 natures'!M133/'4.1 Comptes 2023 natures'!M3</f>
        <v>0</v>
      </c>
      <c r="N133" s="13">
        <f>'4.1 Comptes 2023 natures'!N133/'4.1 Comptes 2023 natures'!N3</f>
        <v>0</v>
      </c>
      <c r="O133" s="13">
        <f>'4.1 Comptes 2023 natures'!O133/'4.1 Comptes 2023 natures'!O3</f>
        <v>0</v>
      </c>
      <c r="P133" s="13">
        <f>'4.1 Comptes 2023 natures'!P133/'4.1 Comptes 2023 natures'!P3</f>
        <v>0</v>
      </c>
      <c r="Q133" s="13">
        <f>'4.1 Comptes 2023 natures'!Q133/'4.1 Comptes 2023 natures'!Q3</f>
        <v>0</v>
      </c>
      <c r="R133" s="13">
        <f>'4.1 Comptes 2023 natures'!R133/'4.1 Comptes 2023 natures'!R3</f>
        <v>0</v>
      </c>
      <c r="S133" s="13">
        <f>'4.1 Comptes 2023 natures'!S133/'4.1 Comptes 2023 natures'!S3</f>
        <v>0</v>
      </c>
      <c r="T133" s="13">
        <f>'4.1 Comptes 2023 natures'!T133/'4.1 Comptes 2023 natures'!T3</f>
        <v>0</v>
      </c>
      <c r="U133" s="13">
        <f>'4.1 Comptes 2023 natures'!U133/'4.1 Comptes 2023 natures'!U3</f>
        <v>0</v>
      </c>
      <c r="V133" s="13">
        <f>'4.1 Comptes 2023 natures'!V133/'4.1 Comptes 2023 natures'!V3</f>
        <v>0</v>
      </c>
      <c r="W133" s="13">
        <f>'4.1 Comptes 2023 natures'!W133/'4.1 Comptes 2023 natures'!W3</f>
        <v>0</v>
      </c>
      <c r="X133" s="13">
        <f>'4.1 Comptes 2023 natures'!X133/'4.1 Comptes 2023 natures'!X3</f>
        <v>0</v>
      </c>
      <c r="Y133" s="13">
        <f>'4.1 Comptes 2023 natures'!Y133/'4.1 Comptes 2023 natures'!Y3</f>
        <v>0</v>
      </c>
      <c r="Z133" s="13">
        <f>'4.1 Comptes 2023 natures'!Z133/'4.1 Comptes 2023 natures'!Z3</f>
        <v>0</v>
      </c>
      <c r="AA133" s="13">
        <f>'4.1 Comptes 2023 natures'!AA133/'4.1 Comptes 2023 natures'!AA3</f>
        <v>0</v>
      </c>
      <c r="AB133" s="13">
        <f>'4.1 Comptes 2023 natures'!AB133/'4.1 Comptes 2023 natures'!AB3</f>
        <v>0</v>
      </c>
      <c r="AC133" s="13">
        <f>'4.1 Comptes 2023 natures'!AC133/'4.1 Comptes 2023 natures'!AC3</f>
        <v>0</v>
      </c>
      <c r="AD133" s="13">
        <f>'4.1 Comptes 2023 natures'!AD133/'4.1 Comptes 2023 natures'!AD3</f>
        <v>0</v>
      </c>
      <c r="AE133" s="13">
        <f>'4.1 Comptes 2023 natures'!AE133/'4.1 Comptes 2023 natures'!AE3</f>
        <v>0</v>
      </c>
      <c r="AF133" s="13">
        <f>'4.1 Comptes 2023 natures'!AF133/'4.1 Comptes 2023 natures'!AF3</f>
        <v>0</v>
      </c>
      <c r="AG133" s="13">
        <f>'4.1 Comptes 2023 natures'!AG133/'4.1 Comptes 2023 natures'!AG3</f>
        <v>0</v>
      </c>
      <c r="AH133" s="13">
        <f>'4.1 Comptes 2023 natures'!AH133/'4.1 Comptes 2023 natures'!AH3</f>
        <v>0</v>
      </c>
      <c r="AI133" s="13">
        <f>'4.1 Comptes 2023 natures'!AI133/'4.1 Comptes 2023 natures'!AI3</f>
        <v>0</v>
      </c>
      <c r="AJ133" s="13">
        <f>'4.1 Comptes 2023 natures'!AJ133/'4.1 Comptes 2023 natures'!AJ3</f>
        <v>0</v>
      </c>
      <c r="AK133" s="13">
        <f>'4.1 Comptes 2023 natures'!AK133/'4.1 Comptes 2023 natures'!AK3</f>
        <v>0</v>
      </c>
      <c r="AL133" s="13">
        <f>'4.1 Comptes 2023 natures'!AL133/'4.1 Comptes 2023 natures'!AL3</f>
        <v>0</v>
      </c>
      <c r="AM133" s="13">
        <f>'4.1 Comptes 2023 natures'!AM133/'4.1 Comptes 2023 natures'!AM3</f>
        <v>0</v>
      </c>
      <c r="AN133" s="13">
        <f>'4.1 Comptes 2023 natures'!AN133/'4.1 Comptes 2023 natures'!AN3</f>
        <v>0</v>
      </c>
      <c r="AO133" s="13">
        <f>'4.1 Comptes 2023 natures'!AO133/'4.1 Comptes 2023 natures'!AO3</f>
        <v>0</v>
      </c>
      <c r="AP133" s="13">
        <f>'4.1 Comptes 2023 natures'!AP133/'4.1 Comptes 2023 natures'!AP3</f>
        <v>0</v>
      </c>
      <c r="AQ133" s="13">
        <f>'4.1 Comptes 2023 natures'!AQ133/'4.1 Comptes 2023 natures'!AQ3</f>
        <v>0</v>
      </c>
      <c r="AR133" s="13">
        <f>'4.1 Comptes 2023 natures'!AR133/'4.1 Comptes 2023 natures'!AR3</f>
        <v>0</v>
      </c>
      <c r="AS133" s="13">
        <f>'4.1 Comptes 2023 natures'!AS133/'4.1 Comptes 2023 natures'!AS3</f>
        <v>0</v>
      </c>
      <c r="AT133" s="13">
        <f>'4.1 Comptes 2023 natures'!AT133/'4.1 Comptes 2023 natures'!AT3</f>
        <v>0</v>
      </c>
      <c r="AU133" s="13">
        <f>'4.1 Comptes 2023 natures'!AU133/'4.1 Comptes 2023 natures'!AU3</f>
        <v>0</v>
      </c>
      <c r="AV133" s="13">
        <f>'4.1 Comptes 2023 natures'!AV133/'4.1 Comptes 2023 natures'!AV3</f>
        <v>0</v>
      </c>
      <c r="AW133" s="13">
        <f>'4.1 Comptes 2023 natures'!AW133/'4.1 Comptes 2023 natures'!AW3</f>
        <v>0</v>
      </c>
      <c r="AX133" s="13">
        <f>'4.1 Comptes 2023 natures'!AX133/'4.1 Comptes 2023 natures'!AX3</f>
        <v>0</v>
      </c>
      <c r="AY133" s="13">
        <f>'4.1 Comptes 2023 natures'!AY133/'4.1 Comptes 2023 natures'!AY3</f>
        <v>0</v>
      </c>
      <c r="AZ133" s="13">
        <f>'4.1 Comptes 2023 natures'!AZ133/'4.1 Comptes 2023 natures'!AZ3</f>
        <v>0</v>
      </c>
      <c r="BA133" s="13">
        <f>'4.1 Comptes 2023 natures'!BA133/'4.1 Comptes 2023 natures'!BA3</f>
        <v>0</v>
      </c>
      <c r="BB133" s="13">
        <f>'4.1 Comptes 2023 natures'!BB133/'4.1 Comptes 2023 natures'!BB3</f>
        <v>0</v>
      </c>
      <c r="BC133" s="13">
        <f>'4.1 Comptes 2023 natures'!BC133/'4.1 Comptes 2023 natures'!BC3</f>
        <v>0</v>
      </c>
      <c r="BD133" s="13">
        <f>'4.1 Comptes 2023 natures'!BD133/'4.1 Comptes 2023 natures'!BD3</f>
        <v>0</v>
      </c>
      <c r="BE133" s="13">
        <f>'4.1 Comptes 2023 natures'!BE133/'4.1 Comptes 2023 natures'!BE3</f>
        <v>0</v>
      </c>
      <c r="BF133" s="13">
        <f>'4.1 Comptes 2023 natures'!BF133/'4.1 Comptes 2023 natures'!BF3</f>
        <v>0</v>
      </c>
      <c r="BG133" s="13">
        <f>'4.1 Comptes 2023 natures'!BG133/'4.1 Comptes 2023 natures'!BG3</f>
        <v>0</v>
      </c>
    </row>
    <row r="134" spans="2:59" x14ac:dyDescent="0.2">
      <c r="C134" s="8">
        <v>482</v>
      </c>
      <c r="D134" s="8" t="s">
        <v>179</v>
      </c>
      <c r="E134" s="13">
        <f>'4.1 Comptes 2023 natures'!E134/'4.1 Comptes 2023 natures'!E3</f>
        <v>0</v>
      </c>
      <c r="F134" s="13">
        <f>'4.1 Comptes 2023 natures'!F134/'4.1 Comptes 2023 natures'!F3</f>
        <v>0</v>
      </c>
      <c r="G134" s="13">
        <f>'4.1 Comptes 2023 natures'!G134/'4.1 Comptes 2023 natures'!G3</f>
        <v>0</v>
      </c>
      <c r="H134" s="13">
        <f>'4.1 Comptes 2023 natures'!H134/'4.1 Comptes 2023 natures'!H3</f>
        <v>0</v>
      </c>
      <c r="I134" s="13">
        <f>'4.1 Comptes 2023 natures'!I134/'4.1 Comptes 2023 natures'!I3</f>
        <v>0</v>
      </c>
      <c r="J134" s="13">
        <f>'4.1 Comptes 2023 natures'!J134/'4.1 Comptes 2023 natures'!J3</f>
        <v>0</v>
      </c>
      <c r="K134" s="13">
        <f>'4.1 Comptes 2023 natures'!K134/'4.1 Comptes 2023 natures'!K3</f>
        <v>0</v>
      </c>
      <c r="L134" s="13">
        <f>'4.1 Comptes 2023 natures'!L134/'4.1 Comptes 2023 natures'!L3</f>
        <v>0</v>
      </c>
      <c r="M134" s="13">
        <f>'4.1 Comptes 2023 natures'!M134/'4.1 Comptes 2023 natures'!M3</f>
        <v>0</v>
      </c>
      <c r="N134" s="13">
        <f>'4.1 Comptes 2023 natures'!N134/'4.1 Comptes 2023 natures'!N3</f>
        <v>0</v>
      </c>
      <c r="O134" s="13">
        <f>'4.1 Comptes 2023 natures'!O134/'4.1 Comptes 2023 natures'!O3</f>
        <v>0</v>
      </c>
      <c r="P134" s="13">
        <f>'4.1 Comptes 2023 natures'!P134/'4.1 Comptes 2023 natures'!P3</f>
        <v>0</v>
      </c>
      <c r="Q134" s="13">
        <f>'4.1 Comptes 2023 natures'!Q134/'4.1 Comptes 2023 natures'!Q3</f>
        <v>0</v>
      </c>
      <c r="R134" s="13">
        <f>'4.1 Comptes 2023 natures'!R134/'4.1 Comptes 2023 natures'!R3</f>
        <v>0</v>
      </c>
      <c r="S134" s="13">
        <f>'4.1 Comptes 2023 natures'!S134/'4.1 Comptes 2023 natures'!S3</f>
        <v>0</v>
      </c>
      <c r="T134" s="13">
        <f>'4.1 Comptes 2023 natures'!T134/'4.1 Comptes 2023 natures'!T3</f>
        <v>0</v>
      </c>
      <c r="U134" s="13">
        <f>'4.1 Comptes 2023 natures'!U134/'4.1 Comptes 2023 natures'!U3</f>
        <v>0</v>
      </c>
      <c r="V134" s="13">
        <f>'4.1 Comptes 2023 natures'!V134/'4.1 Comptes 2023 natures'!V3</f>
        <v>0</v>
      </c>
      <c r="W134" s="13">
        <f>'4.1 Comptes 2023 natures'!W134/'4.1 Comptes 2023 natures'!W3</f>
        <v>0</v>
      </c>
      <c r="X134" s="13">
        <f>'4.1 Comptes 2023 natures'!X134/'4.1 Comptes 2023 natures'!X3</f>
        <v>0</v>
      </c>
      <c r="Y134" s="13">
        <f>'4.1 Comptes 2023 natures'!Y134/'4.1 Comptes 2023 natures'!Y3</f>
        <v>0</v>
      </c>
      <c r="Z134" s="13">
        <f>'4.1 Comptes 2023 natures'!Z134/'4.1 Comptes 2023 natures'!Z3</f>
        <v>0</v>
      </c>
      <c r="AA134" s="13">
        <f>'4.1 Comptes 2023 natures'!AA134/'4.1 Comptes 2023 natures'!AA3</f>
        <v>0</v>
      </c>
      <c r="AB134" s="13">
        <f>'4.1 Comptes 2023 natures'!AB134/'4.1 Comptes 2023 natures'!AB3</f>
        <v>0</v>
      </c>
      <c r="AC134" s="13">
        <f>'4.1 Comptes 2023 natures'!AC134/'4.1 Comptes 2023 natures'!AC3</f>
        <v>0</v>
      </c>
      <c r="AD134" s="13">
        <f>'4.1 Comptes 2023 natures'!AD134/'4.1 Comptes 2023 natures'!AD3</f>
        <v>0</v>
      </c>
      <c r="AE134" s="13">
        <f>'4.1 Comptes 2023 natures'!AE134/'4.1 Comptes 2023 natures'!AE3</f>
        <v>0</v>
      </c>
      <c r="AF134" s="13">
        <f>'4.1 Comptes 2023 natures'!AF134/'4.1 Comptes 2023 natures'!AF3</f>
        <v>0</v>
      </c>
      <c r="AG134" s="13">
        <f>'4.1 Comptes 2023 natures'!AG134/'4.1 Comptes 2023 natures'!AG3</f>
        <v>0</v>
      </c>
      <c r="AH134" s="13">
        <f>'4.1 Comptes 2023 natures'!AH134/'4.1 Comptes 2023 natures'!AH3</f>
        <v>0</v>
      </c>
      <c r="AI134" s="13">
        <f>'4.1 Comptes 2023 natures'!AI134/'4.1 Comptes 2023 natures'!AI3</f>
        <v>0</v>
      </c>
      <c r="AJ134" s="13">
        <f>'4.1 Comptes 2023 natures'!AJ134/'4.1 Comptes 2023 natures'!AJ3</f>
        <v>0</v>
      </c>
      <c r="AK134" s="13">
        <f>'4.1 Comptes 2023 natures'!AK134/'4.1 Comptes 2023 natures'!AK3</f>
        <v>0</v>
      </c>
      <c r="AL134" s="13">
        <f>'4.1 Comptes 2023 natures'!AL134/'4.1 Comptes 2023 natures'!AL3</f>
        <v>0</v>
      </c>
      <c r="AM134" s="13">
        <f>'4.1 Comptes 2023 natures'!AM134/'4.1 Comptes 2023 natures'!AM3</f>
        <v>0</v>
      </c>
      <c r="AN134" s="13">
        <f>'4.1 Comptes 2023 natures'!AN134/'4.1 Comptes 2023 natures'!AN3</f>
        <v>0</v>
      </c>
      <c r="AO134" s="13">
        <f>'4.1 Comptes 2023 natures'!AO134/'4.1 Comptes 2023 natures'!AO3</f>
        <v>0</v>
      </c>
      <c r="AP134" s="13">
        <f>'4.1 Comptes 2023 natures'!AP134/'4.1 Comptes 2023 natures'!AP3</f>
        <v>0</v>
      </c>
      <c r="AQ134" s="13">
        <f>'4.1 Comptes 2023 natures'!AQ134/'4.1 Comptes 2023 natures'!AQ3</f>
        <v>0</v>
      </c>
      <c r="AR134" s="13">
        <f>'4.1 Comptes 2023 natures'!AR134/'4.1 Comptes 2023 natures'!AR3</f>
        <v>0</v>
      </c>
      <c r="AS134" s="13">
        <f>'4.1 Comptes 2023 natures'!AS134/'4.1 Comptes 2023 natures'!AS3</f>
        <v>0</v>
      </c>
      <c r="AT134" s="13">
        <f>'4.1 Comptes 2023 natures'!AT134/'4.1 Comptes 2023 natures'!AT3</f>
        <v>0</v>
      </c>
      <c r="AU134" s="13">
        <f>'4.1 Comptes 2023 natures'!AU134/'4.1 Comptes 2023 natures'!AU3</f>
        <v>0</v>
      </c>
      <c r="AV134" s="13">
        <f>'4.1 Comptes 2023 natures'!AV134/'4.1 Comptes 2023 natures'!AV3</f>
        <v>0</v>
      </c>
      <c r="AW134" s="13">
        <f>'4.1 Comptes 2023 natures'!AW134/'4.1 Comptes 2023 natures'!AW3</f>
        <v>0</v>
      </c>
      <c r="AX134" s="13">
        <f>'4.1 Comptes 2023 natures'!AX134/'4.1 Comptes 2023 natures'!AX3</f>
        <v>0</v>
      </c>
      <c r="AY134" s="13">
        <f>'4.1 Comptes 2023 natures'!AY134/'4.1 Comptes 2023 natures'!AY3</f>
        <v>0</v>
      </c>
      <c r="AZ134" s="13">
        <f>'4.1 Comptes 2023 natures'!AZ134/'4.1 Comptes 2023 natures'!AZ3</f>
        <v>0</v>
      </c>
      <c r="BA134" s="13">
        <f>'4.1 Comptes 2023 natures'!BA134/'4.1 Comptes 2023 natures'!BA3</f>
        <v>0</v>
      </c>
      <c r="BB134" s="13">
        <f>'4.1 Comptes 2023 natures'!BB134/'4.1 Comptes 2023 natures'!BB3</f>
        <v>0</v>
      </c>
      <c r="BC134" s="13">
        <f>'4.1 Comptes 2023 natures'!BC134/'4.1 Comptes 2023 natures'!BC3</f>
        <v>0</v>
      </c>
      <c r="BD134" s="13">
        <f>'4.1 Comptes 2023 natures'!BD134/'4.1 Comptes 2023 natures'!BD3</f>
        <v>0</v>
      </c>
      <c r="BE134" s="13">
        <f>'4.1 Comptes 2023 natures'!BE134/'4.1 Comptes 2023 natures'!BE3</f>
        <v>0</v>
      </c>
      <c r="BF134" s="13">
        <f>'4.1 Comptes 2023 natures'!BF134/'4.1 Comptes 2023 natures'!BF3</f>
        <v>0</v>
      </c>
      <c r="BG134" s="13">
        <f>'4.1 Comptes 2023 natures'!BG134/'4.1 Comptes 2023 natures'!BG3</f>
        <v>0</v>
      </c>
    </row>
    <row r="135" spans="2:59" x14ac:dyDescent="0.2">
      <c r="C135" s="8">
        <v>483</v>
      </c>
      <c r="D135" s="8" t="s">
        <v>180</v>
      </c>
      <c r="E135" s="13">
        <f>'4.1 Comptes 2023 natures'!E135/'4.1 Comptes 2023 natures'!E3</f>
        <v>0</v>
      </c>
      <c r="F135" s="13">
        <f>'4.1 Comptes 2023 natures'!F135/'4.1 Comptes 2023 natures'!F3</f>
        <v>0</v>
      </c>
      <c r="G135" s="13">
        <f>'4.1 Comptes 2023 natures'!G135/'4.1 Comptes 2023 natures'!G3</f>
        <v>0</v>
      </c>
      <c r="H135" s="13">
        <f>'4.1 Comptes 2023 natures'!H135/'4.1 Comptes 2023 natures'!H3</f>
        <v>0</v>
      </c>
      <c r="I135" s="13">
        <f>'4.1 Comptes 2023 natures'!I135/'4.1 Comptes 2023 natures'!I3</f>
        <v>0</v>
      </c>
      <c r="J135" s="13">
        <f>'4.1 Comptes 2023 natures'!J135/'4.1 Comptes 2023 natures'!J3</f>
        <v>0</v>
      </c>
      <c r="K135" s="13">
        <f>'4.1 Comptes 2023 natures'!K135/'4.1 Comptes 2023 natures'!K3</f>
        <v>0</v>
      </c>
      <c r="L135" s="13">
        <f>'4.1 Comptes 2023 natures'!L135/'4.1 Comptes 2023 natures'!L3</f>
        <v>0</v>
      </c>
      <c r="M135" s="13">
        <f>'4.1 Comptes 2023 natures'!M135/'4.1 Comptes 2023 natures'!M3</f>
        <v>0</v>
      </c>
      <c r="N135" s="13">
        <f>'4.1 Comptes 2023 natures'!N135/'4.1 Comptes 2023 natures'!N3</f>
        <v>0</v>
      </c>
      <c r="O135" s="13">
        <f>'4.1 Comptes 2023 natures'!O135/'4.1 Comptes 2023 natures'!O3</f>
        <v>0</v>
      </c>
      <c r="P135" s="13">
        <f>'4.1 Comptes 2023 natures'!P135/'4.1 Comptes 2023 natures'!P3</f>
        <v>0</v>
      </c>
      <c r="Q135" s="13">
        <f>'4.1 Comptes 2023 natures'!Q135/'4.1 Comptes 2023 natures'!Q3</f>
        <v>0</v>
      </c>
      <c r="R135" s="13">
        <f>'4.1 Comptes 2023 natures'!R135/'4.1 Comptes 2023 natures'!R3</f>
        <v>0</v>
      </c>
      <c r="S135" s="13">
        <f>'4.1 Comptes 2023 natures'!S135/'4.1 Comptes 2023 natures'!S3</f>
        <v>0</v>
      </c>
      <c r="T135" s="13">
        <f>'4.1 Comptes 2023 natures'!T135/'4.1 Comptes 2023 natures'!T3</f>
        <v>0</v>
      </c>
      <c r="U135" s="13">
        <f>'4.1 Comptes 2023 natures'!U135/'4.1 Comptes 2023 natures'!U3</f>
        <v>0</v>
      </c>
      <c r="V135" s="13">
        <f>'4.1 Comptes 2023 natures'!V135/'4.1 Comptes 2023 natures'!V3</f>
        <v>0</v>
      </c>
      <c r="W135" s="13">
        <f>'4.1 Comptes 2023 natures'!W135/'4.1 Comptes 2023 natures'!W3</f>
        <v>0</v>
      </c>
      <c r="X135" s="13">
        <f>'4.1 Comptes 2023 natures'!X135/'4.1 Comptes 2023 natures'!X3</f>
        <v>0</v>
      </c>
      <c r="Y135" s="13">
        <f>'4.1 Comptes 2023 natures'!Y135/'4.1 Comptes 2023 natures'!Y3</f>
        <v>0</v>
      </c>
      <c r="Z135" s="13">
        <f>'4.1 Comptes 2023 natures'!Z135/'4.1 Comptes 2023 natures'!Z3</f>
        <v>0</v>
      </c>
      <c r="AA135" s="13">
        <f>'4.1 Comptes 2023 natures'!AA135/'4.1 Comptes 2023 natures'!AA3</f>
        <v>0</v>
      </c>
      <c r="AB135" s="13">
        <f>'4.1 Comptes 2023 natures'!AB135/'4.1 Comptes 2023 natures'!AB3</f>
        <v>0</v>
      </c>
      <c r="AC135" s="13">
        <f>'4.1 Comptes 2023 natures'!AC135/'4.1 Comptes 2023 natures'!AC3</f>
        <v>7.605633802816902E-3</v>
      </c>
      <c r="AD135" s="13">
        <f>'4.1 Comptes 2023 natures'!AD135/'4.1 Comptes 2023 natures'!AD3</f>
        <v>0</v>
      </c>
      <c r="AE135" s="13">
        <f>'4.1 Comptes 2023 natures'!AE135/'4.1 Comptes 2023 natures'!AE3</f>
        <v>0</v>
      </c>
      <c r="AF135" s="13">
        <f>'4.1 Comptes 2023 natures'!AF135/'4.1 Comptes 2023 natures'!AF3</f>
        <v>0</v>
      </c>
      <c r="AG135" s="13">
        <f>'4.1 Comptes 2023 natures'!AG135/'4.1 Comptes 2023 natures'!AG3</f>
        <v>0</v>
      </c>
      <c r="AH135" s="13">
        <f>'4.1 Comptes 2023 natures'!AH135/'4.1 Comptes 2023 natures'!AH3</f>
        <v>0</v>
      </c>
      <c r="AI135" s="13">
        <f>'4.1 Comptes 2023 natures'!AI135/'4.1 Comptes 2023 natures'!AI3</f>
        <v>0</v>
      </c>
      <c r="AJ135" s="13">
        <f>'4.1 Comptes 2023 natures'!AJ135/'4.1 Comptes 2023 natures'!AJ3</f>
        <v>0</v>
      </c>
      <c r="AK135" s="13">
        <f>'4.1 Comptes 2023 natures'!AK135/'4.1 Comptes 2023 natures'!AK3</f>
        <v>0</v>
      </c>
      <c r="AL135" s="13">
        <f>'4.1 Comptes 2023 natures'!AL135/'4.1 Comptes 2023 natures'!AL3</f>
        <v>0</v>
      </c>
      <c r="AM135" s="13">
        <f>'4.1 Comptes 2023 natures'!AM135/'4.1 Comptes 2023 natures'!AM3</f>
        <v>0</v>
      </c>
      <c r="AN135" s="13">
        <f>'4.1 Comptes 2023 natures'!AN135/'4.1 Comptes 2023 natures'!AN3</f>
        <v>0</v>
      </c>
      <c r="AO135" s="13">
        <f>'4.1 Comptes 2023 natures'!AO135/'4.1 Comptes 2023 natures'!AO3</f>
        <v>0</v>
      </c>
      <c r="AP135" s="13">
        <f>'4.1 Comptes 2023 natures'!AP135/'4.1 Comptes 2023 natures'!AP3</f>
        <v>0</v>
      </c>
      <c r="AQ135" s="13">
        <f>'4.1 Comptes 2023 natures'!AQ135/'4.1 Comptes 2023 natures'!AQ3</f>
        <v>0</v>
      </c>
      <c r="AR135" s="13">
        <f>'4.1 Comptes 2023 natures'!AR135/'4.1 Comptes 2023 natures'!AR3</f>
        <v>0</v>
      </c>
      <c r="AS135" s="13">
        <f>'4.1 Comptes 2023 natures'!AS135/'4.1 Comptes 2023 natures'!AS3</f>
        <v>0</v>
      </c>
      <c r="AT135" s="13">
        <f>'4.1 Comptes 2023 natures'!AT135/'4.1 Comptes 2023 natures'!AT3</f>
        <v>0</v>
      </c>
      <c r="AU135" s="13">
        <f>'4.1 Comptes 2023 natures'!AU135/'4.1 Comptes 2023 natures'!AU3</f>
        <v>0</v>
      </c>
      <c r="AV135" s="13">
        <f>'4.1 Comptes 2023 natures'!AV135/'4.1 Comptes 2023 natures'!AV3</f>
        <v>0</v>
      </c>
      <c r="AW135" s="13">
        <f>'4.1 Comptes 2023 natures'!AW135/'4.1 Comptes 2023 natures'!AW3</f>
        <v>0</v>
      </c>
      <c r="AX135" s="13">
        <f>'4.1 Comptes 2023 natures'!AX135/'4.1 Comptes 2023 natures'!AX3</f>
        <v>0</v>
      </c>
      <c r="AY135" s="13">
        <f>'4.1 Comptes 2023 natures'!AY135/'4.1 Comptes 2023 natures'!AY3</f>
        <v>0</v>
      </c>
      <c r="AZ135" s="13">
        <f>'4.1 Comptes 2023 natures'!AZ135/'4.1 Comptes 2023 natures'!AZ3</f>
        <v>0</v>
      </c>
      <c r="BA135" s="13">
        <f>'4.1 Comptes 2023 natures'!BA135/'4.1 Comptes 2023 natures'!BA3</f>
        <v>0</v>
      </c>
      <c r="BB135" s="13">
        <f>'4.1 Comptes 2023 natures'!BB135/'4.1 Comptes 2023 natures'!BB3</f>
        <v>0</v>
      </c>
      <c r="BC135" s="13">
        <f>'4.1 Comptes 2023 natures'!BC135/'4.1 Comptes 2023 natures'!BC3</f>
        <v>0</v>
      </c>
      <c r="BD135" s="13">
        <f>'4.1 Comptes 2023 natures'!BD135/'4.1 Comptes 2023 natures'!BD3</f>
        <v>7.2436550947040833E-5</v>
      </c>
      <c r="BE135" s="13">
        <f>'4.1 Comptes 2023 natures'!BE135/'4.1 Comptes 2023 natures'!BE3</f>
        <v>0</v>
      </c>
      <c r="BF135" s="13">
        <f>'4.1 Comptes 2023 natures'!BF135/'4.1 Comptes 2023 natures'!BF3</f>
        <v>5.1277181654163896E-4</v>
      </c>
      <c r="BG135" s="13">
        <f>'4.1 Comptes 2023 natures'!BG135/'4.1 Comptes 2023 natures'!BG3</f>
        <v>0</v>
      </c>
    </row>
    <row r="136" spans="2:59" x14ac:dyDescent="0.2">
      <c r="C136" s="8">
        <v>484</v>
      </c>
      <c r="D136" s="8" t="s">
        <v>181</v>
      </c>
      <c r="E136" s="13">
        <f>'4.1 Comptes 2023 natures'!E136/'4.1 Comptes 2023 natures'!E3</f>
        <v>0</v>
      </c>
      <c r="F136" s="13">
        <f>'4.1 Comptes 2023 natures'!F136/'4.1 Comptes 2023 natures'!F3</f>
        <v>0</v>
      </c>
      <c r="G136" s="13">
        <f>'4.1 Comptes 2023 natures'!G136/'4.1 Comptes 2023 natures'!G3</f>
        <v>0</v>
      </c>
      <c r="H136" s="13">
        <f>'4.1 Comptes 2023 natures'!H136/'4.1 Comptes 2023 natures'!H3</f>
        <v>0</v>
      </c>
      <c r="I136" s="13">
        <f>'4.1 Comptes 2023 natures'!I136/'4.1 Comptes 2023 natures'!I3</f>
        <v>0</v>
      </c>
      <c r="J136" s="13">
        <f>'4.1 Comptes 2023 natures'!J136/'4.1 Comptes 2023 natures'!J3</f>
        <v>0</v>
      </c>
      <c r="K136" s="13">
        <f>'4.1 Comptes 2023 natures'!K136/'4.1 Comptes 2023 natures'!K3</f>
        <v>6.810657121879589</v>
      </c>
      <c r="L136" s="13">
        <f>'4.1 Comptes 2023 natures'!L136/'4.1 Comptes 2023 natures'!L3</f>
        <v>0</v>
      </c>
      <c r="M136" s="13">
        <f>'4.1 Comptes 2023 natures'!M136/'4.1 Comptes 2023 natures'!M3</f>
        <v>0</v>
      </c>
      <c r="N136" s="13">
        <f>'4.1 Comptes 2023 natures'!N136/'4.1 Comptes 2023 natures'!N3</f>
        <v>0</v>
      </c>
      <c r="O136" s="13">
        <f>'4.1 Comptes 2023 natures'!O136/'4.1 Comptes 2023 natures'!O3</f>
        <v>0</v>
      </c>
      <c r="P136" s="13">
        <f>'4.1 Comptes 2023 natures'!P136/'4.1 Comptes 2023 natures'!P3</f>
        <v>0</v>
      </c>
      <c r="Q136" s="13">
        <f>'4.1 Comptes 2023 natures'!Q136/'4.1 Comptes 2023 natures'!Q3</f>
        <v>0</v>
      </c>
      <c r="R136" s="13">
        <f>'4.1 Comptes 2023 natures'!R136/'4.1 Comptes 2023 natures'!R3</f>
        <v>0</v>
      </c>
      <c r="S136" s="13">
        <f>'4.1 Comptes 2023 natures'!S136/'4.1 Comptes 2023 natures'!S3</f>
        <v>0</v>
      </c>
      <c r="T136" s="13">
        <f>'4.1 Comptes 2023 natures'!T136/'4.1 Comptes 2023 natures'!T3</f>
        <v>0</v>
      </c>
      <c r="U136" s="13">
        <f>'4.1 Comptes 2023 natures'!U136/'4.1 Comptes 2023 natures'!U3</f>
        <v>0</v>
      </c>
      <c r="V136" s="13">
        <f>'4.1 Comptes 2023 natures'!V136/'4.1 Comptes 2023 natures'!V3</f>
        <v>0</v>
      </c>
      <c r="W136" s="13">
        <f>'4.1 Comptes 2023 natures'!W136/'4.1 Comptes 2023 natures'!W3</f>
        <v>0</v>
      </c>
      <c r="X136" s="13">
        <f>'4.1 Comptes 2023 natures'!X136/'4.1 Comptes 2023 natures'!X3</f>
        <v>0</v>
      </c>
      <c r="Y136" s="13">
        <f>'4.1 Comptes 2023 natures'!Y136/'4.1 Comptes 2023 natures'!Y3</f>
        <v>0</v>
      </c>
      <c r="Z136" s="13">
        <f>'4.1 Comptes 2023 natures'!Z136/'4.1 Comptes 2023 natures'!Z3</f>
        <v>22.533495736906211</v>
      </c>
      <c r="AA136" s="13">
        <f>'4.1 Comptes 2023 natures'!AA136/'4.1 Comptes 2023 natures'!AA3</f>
        <v>0</v>
      </c>
      <c r="AB136" s="13">
        <f>'4.1 Comptes 2023 natures'!AB136/'4.1 Comptes 2023 natures'!AB3</f>
        <v>0</v>
      </c>
      <c r="AC136" s="13">
        <f>'4.1 Comptes 2023 natures'!AC136/'4.1 Comptes 2023 natures'!AC3</f>
        <v>0</v>
      </c>
      <c r="AD136" s="13">
        <f>'4.1 Comptes 2023 natures'!AD136/'4.1 Comptes 2023 natures'!AD3</f>
        <v>0</v>
      </c>
      <c r="AE136" s="13">
        <f>'4.1 Comptes 2023 natures'!AE136/'4.1 Comptes 2023 natures'!AE3</f>
        <v>0</v>
      </c>
      <c r="AF136" s="13">
        <f>'4.1 Comptes 2023 natures'!AF136/'4.1 Comptes 2023 natures'!AF3</f>
        <v>0</v>
      </c>
      <c r="AG136" s="13">
        <f>'4.1 Comptes 2023 natures'!AG136/'4.1 Comptes 2023 natures'!AG3</f>
        <v>0</v>
      </c>
      <c r="AH136" s="13">
        <f>'4.1 Comptes 2023 natures'!AH136/'4.1 Comptes 2023 natures'!AH3</f>
        <v>0</v>
      </c>
      <c r="AI136" s="13">
        <f>'4.1 Comptes 2023 natures'!AI136/'4.1 Comptes 2023 natures'!AI3</f>
        <v>0</v>
      </c>
      <c r="AJ136" s="13">
        <f>'4.1 Comptes 2023 natures'!AJ136/'4.1 Comptes 2023 natures'!AJ3</f>
        <v>0</v>
      </c>
      <c r="AK136" s="13">
        <f>'4.1 Comptes 2023 natures'!AK136/'4.1 Comptes 2023 natures'!AK3</f>
        <v>0</v>
      </c>
      <c r="AL136" s="13">
        <f>'4.1 Comptes 2023 natures'!AL136/'4.1 Comptes 2023 natures'!AL3</f>
        <v>0</v>
      </c>
      <c r="AM136" s="13">
        <f>'4.1 Comptes 2023 natures'!AM136/'4.1 Comptes 2023 natures'!AM3</f>
        <v>0</v>
      </c>
      <c r="AN136" s="13">
        <f>'4.1 Comptes 2023 natures'!AN136/'4.1 Comptes 2023 natures'!AN3</f>
        <v>0</v>
      </c>
      <c r="AO136" s="13">
        <f>'4.1 Comptes 2023 natures'!AO136/'4.1 Comptes 2023 natures'!AO3</f>
        <v>0</v>
      </c>
      <c r="AP136" s="13">
        <f>'4.1 Comptes 2023 natures'!AP136/'4.1 Comptes 2023 natures'!AP3</f>
        <v>0</v>
      </c>
      <c r="AQ136" s="13">
        <f>'4.1 Comptes 2023 natures'!AQ136/'4.1 Comptes 2023 natures'!AQ3</f>
        <v>0</v>
      </c>
      <c r="AR136" s="13">
        <f>'4.1 Comptes 2023 natures'!AR136/'4.1 Comptes 2023 natures'!AR3</f>
        <v>0</v>
      </c>
      <c r="AS136" s="13">
        <f>'4.1 Comptes 2023 natures'!AS136/'4.1 Comptes 2023 natures'!AS3</f>
        <v>0</v>
      </c>
      <c r="AT136" s="13">
        <f>'4.1 Comptes 2023 natures'!AT136/'4.1 Comptes 2023 natures'!AT3</f>
        <v>0</v>
      </c>
      <c r="AU136" s="13">
        <f>'4.1 Comptes 2023 natures'!AU136/'4.1 Comptes 2023 natures'!AU3</f>
        <v>0</v>
      </c>
      <c r="AV136" s="13">
        <f>'4.1 Comptes 2023 natures'!AV136/'4.1 Comptes 2023 natures'!AV3</f>
        <v>0</v>
      </c>
      <c r="AW136" s="13">
        <f>'4.1 Comptes 2023 natures'!AW136/'4.1 Comptes 2023 natures'!AW3</f>
        <v>0</v>
      </c>
      <c r="AX136" s="13">
        <f>'4.1 Comptes 2023 natures'!AX136/'4.1 Comptes 2023 natures'!AX3</f>
        <v>0</v>
      </c>
      <c r="AY136" s="13">
        <f>'4.1 Comptes 2023 natures'!AY136/'4.1 Comptes 2023 natures'!AY3</f>
        <v>0</v>
      </c>
      <c r="AZ136" s="13">
        <f>'4.1 Comptes 2023 natures'!AZ136/'4.1 Comptes 2023 natures'!AZ3</f>
        <v>0</v>
      </c>
      <c r="BA136" s="13">
        <f>'4.1 Comptes 2023 natures'!BA136/'4.1 Comptes 2023 natures'!BA3</f>
        <v>0</v>
      </c>
      <c r="BB136" s="13">
        <f>'4.1 Comptes 2023 natures'!BB136/'4.1 Comptes 2023 natures'!BB3</f>
        <v>0</v>
      </c>
      <c r="BC136" s="13">
        <f>'4.1 Comptes 2023 natures'!BC136/'4.1 Comptes 2023 natures'!BC3</f>
        <v>0</v>
      </c>
      <c r="BD136" s="13">
        <f>'4.1 Comptes 2023 natures'!BD136/'4.1 Comptes 2023 natures'!BD3</f>
        <v>0.74518739604013517</v>
      </c>
      <c r="BE136" s="13">
        <f>'4.1 Comptes 2023 natures'!BE136/'4.1 Comptes 2023 natures'!BE3</f>
        <v>0.46778189611699444</v>
      </c>
      <c r="BF136" s="13">
        <f>'4.1 Comptes 2023 natures'!BF136/'4.1 Comptes 2023 natures'!BF3</f>
        <v>3.5134365207482672</v>
      </c>
      <c r="BG136" s="13">
        <f>'4.1 Comptes 2023 natures'!BG136/'4.1 Comptes 2023 natures'!BG3</f>
        <v>0</v>
      </c>
    </row>
    <row r="137" spans="2:59" x14ac:dyDescent="0.2">
      <c r="C137" s="8">
        <v>485</v>
      </c>
      <c r="D137" s="8" t="s">
        <v>182</v>
      </c>
      <c r="E137" s="13">
        <f>'4.1 Comptes 2023 natures'!E137/'4.1 Comptes 2023 natures'!E3</f>
        <v>0</v>
      </c>
      <c r="F137" s="13">
        <f>'4.1 Comptes 2023 natures'!F137/'4.1 Comptes 2023 natures'!F3</f>
        <v>0</v>
      </c>
      <c r="G137" s="13">
        <f>'4.1 Comptes 2023 natures'!G137/'4.1 Comptes 2023 natures'!G3</f>
        <v>0</v>
      </c>
      <c r="H137" s="13">
        <f>'4.1 Comptes 2023 natures'!H137/'4.1 Comptes 2023 natures'!H3</f>
        <v>0</v>
      </c>
      <c r="I137" s="13">
        <f>'4.1 Comptes 2023 natures'!I137/'4.1 Comptes 2023 natures'!I3</f>
        <v>0</v>
      </c>
      <c r="J137" s="13">
        <f>'4.1 Comptes 2023 natures'!J137/'4.1 Comptes 2023 natures'!J3</f>
        <v>0</v>
      </c>
      <c r="K137" s="13">
        <f>'4.1 Comptes 2023 natures'!K137/'4.1 Comptes 2023 natures'!K3</f>
        <v>0</v>
      </c>
      <c r="L137" s="13">
        <f>'4.1 Comptes 2023 natures'!L137/'4.1 Comptes 2023 natures'!L3</f>
        <v>0</v>
      </c>
      <c r="M137" s="13">
        <f>'4.1 Comptes 2023 natures'!M137/'4.1 Comptes 2023 natures'!M3</f>
        <v>0</v>
      </c>
      <c r="N137" s="13">
        <f>'4.1 Comptes 2023 natures'!N137/'4.1 Comptes 2023 natures'!N3</f>
        <v>0</v>
      </c>
      <c r="O137" s="13">
        <f>'4.1 Comptes 2023 natures'!O137/'4.1 Comptes 2023 natures'!O3</f>
        <v>0</v>
      </c>
      <c r="P137" s="13">
        <f>'4.1 Comptes 2023 natures'!P137/'4.1 Comptes 2023 natures'!P3</f>
        <v>0</v>
      </c>
      <c r="Q137" s="13">
        <f>'4.1 Comptes 2023 natures'!Q137/'4.1 Comptes 2023 natures'!Q3</f>
        <v>0</v>
      </c>
      <c r="R137" s="13">
        <f>'4.1 Comptes 2023 natures'!R137/'4.1 Comptes 2023 natures'!R3</f>
        <v>0</v>
      </c>
      <c r="S137" s="13">
        <f>'4.1 Comptes 2023 natures'!S137/'4.1 Comptes 2023 natures'!S3</f>
        <v>0</v>
      </c>
      <c r="T137" s="13">
        <f>'4.1 Comptes 2023 natures'!T137/'4.1 Comptes 2023 natures'!T3</f>
        <v>0</v>
      </c>
      <c r="U137" s="13">
        <f>'4.1 Comptes 2023 natures'!U137/'4.1 Comptes 2023 natures'!U3</f>
        <v>0</v>
      </c>
      <c r="V137" s="13">
        <f>'4.1 Comptes 2023 natures'!V137/'4.1 Comptes 2023 natures'!V3</f>
        <v>0</v>
      </c>
      <c r="W137" s="13">
        <f>'4.1 Comptes 2023 natures'!W137/'4.1 Comptes 2023 natures'!W3</f>
        <v>0</v>
      </c>
      <c r="X137" s="13">
        <f>'4.1 Comptes 2023 natures'!X137/'4.1 Comptes 2023 natures'!X3</f>
        <v>0</v>
      </c>
      <c r="Y137" s="13">
        <f>'4.1 Comptes 2023 natures'!Y137/'4.1 Comptes 2023 natures'!Y3</f>
        <v>0</v>
      </c>
      <c r="Z137" s="13">
        <f>'4.1 Comptes 2023 natures'!Z137/'4.1 Comptes 2023 natures'!Z3</f>
        <v>0</v>
      </c>
      <c r="AA137" s="13">
        <f>'4.1 Comptes 2023 natures'!AA137/'4.1 Comptes 2023 natures'!AA3</f>
        <v>0</v>
      </c>
      <c r="AB137" s="13">
        <f>'4.1 Comptes 2023 natures'!AB137/'4.1 Comptes 2023 natures'!AB3</f>
        <v>0</v>
      </c>
      <c r="AC137" s="13">
        <f>'4.1 Comptes 2023 natures'!AC137/'4.1 Comptes 2023 natures'!AC3</f>
        <v>0</v>
      </c>
      <c r="AD137" s="13">
        <f>'4.1 Comptes 2023 natures'!AD137/'4.1 Comptes 2023 natures'!AD3</f>
        <v>0</v>
      </c>
      <c r="AE137" s="13">
        <f>'4.1 Comptes 2023 natures'!AE137/'4.1 Comptes 2023 natures'!AE3</f>
        <v>0</v>
      </c>
      <c r="AF137" s="13">
        <f>'4.1 Comptes 2023 natures'!AF137/'4.1 Comptes 2023 natures'!AF3</f>
        <v>0</v>
      </c>
      <c r="AG137" s="13">
        <f>'4.1 Comptes 2023 natures'!AG137/'4.1 Comptes 2023 natures'!AG3</f>
        <v>0</v>
      </c>
      <c r="AH137" s="13">
        <f>'4.1 Comptes 2023 natures'!AH137/'4.1 Comptes 2023 natures'!AH3</f>
        <v>0</v>
      </c>
      <c r="AI137" s="13">
        <f>'4.1 Comptes 2023 natures'!AI137/'4.1 Comptes 2023 natures'!AI3</f>
        <v>0</v>
      </c>
      <c r="AJ137" s="13">
        <f>'4.1 Comptes 2023 natures'!AJ137/'4.1 Comptes 2023 natures'!AJ3</f>
        <v>0</v>
      </c>
      <c r="AK137" s="13">
        <f>'4.1 Comptes 2023 natures'!AK137/'4.1 Comptes 2023 natures'!AK3</f>
        <v>0</v>
      </c>
      <c r="AL137" s="13">
        <f>'4.1 Comptes 2023 natures'!AL137/'4.1 Comptes 2023 natures'!AL3</f>
        <v>0</v>
      </c>
      <c r="AM137" s="13">
        <f>'4.1 Comptes 2023 natures'!AM137/'4.1 Comptes 2023 natures'!AM3</f>
        <v>0</v>
      </c>
      <c r="AN137" s="13">
        <f>'4.1 Comptes 2023 natures'!AN137/'4.1 Comptes 2023 natures'!AN3</f>
        <v>0</v>
      </c>
      <c r="AO137" s="13">
        <f>'4.1 Comptes 2023 natures'!AO137/'4.1 Comptes 2023 natures'!AO3</f>
        <v>0</v>
      </c>
      <c r="AP137" s="13">
        <f>'4.1 Comptes 2023 natures'!AP137/'4.1 Comptes 2023 natures'!AP3</f>
        <v>0</v>
      </c>
      <c r="AQ137" s="13">
        <f>'4.1 Comptes 2023 natures'!AQ137/'4.1 Comptes 2023 natures'!AQ3</f>
        <v>0</v>
      </c>
      <c r="AR137" s="13">
        <f>'4.1 Comptes 2023 natures'!AR137/'4.1 Comptes 2023 natures'!AR3</f>
        <v>0</v>
      </c>
      <c r="AS137" s="13">
        <f>'4.1 Comptes 2023 natures'!AS137/'4.1 Comptes 2023 natures'!AS3</f>
        <v>0</v>
      </c>
      <c r="AT137" s="13">
        <f>'4.1 Comptes 2023 natures'!AT137/'4.1 Comptes 2023 natures'!AT3</f>
        <v>1.0764331210191083</v>
      </c>
      <c r="AU137" s="13">
        <f>'4.1 Comptes 2023 natures'!AU137/'4.1 Comptes 2023 natures'!AU3</f>
        <v>0</v>
      </c>
      <c r="AV137" s="13">
        <f>'4.1 Comptes 2023 natures'!AV137/'4.1 Comptes 2023 natures'!AV3</f>
        <v>0</v>
      </c>
      <c r="AW137" s="13">
        <f>'4.1 Comptes 2023 natures'!AW137/'4.1 Comptes 2023 natures'!AW3</f>
        <v>0</v>
      </c>
      <c r="AX137" s="13">
        <f>'4.1 Comptes 2023 natures'!AX137/'4.1 Comptes 2023 natures'!AX3</f>
        <v>0</v>
      </c>
      <c r="AY137" s="13">
        <f>'4.1 Comptes 2023 natures'!AY137/'4.1 Comptes 2023 natures'!AY3</f>
        <v>0</v>
      </c>
      <c r="AZ137" s="13">
        <f>'4.1 Comptes 2023 natures'!AZ137/'4.1 Comptes 2023 natures'!AZ3</f>
        <v>0</v>
      </c>
      <c r="BA137" s="13">
        <f>'4.1 Comptes 2023 natures'!BA137/'4.1 Comptes 2023 natures'!BA3</f>
        <v>0</v>
      </c>
      <c r="BB137" s="13">
        <f>'4.1 Comptes 2023 natures'!BB137/'4.1 Comptes 2023 natures'!BB3</f>
        <v>0</v>
      </c>
      <c r="BC137" s="13">
        <f>'4.1 Comptes 2023 natures'!BC137/'4.1 Comptes 2023 natures'!BC3</f>
        <v>0</v>
      </c>
      <c r="BD137" s="13">
        <f>'4.1 Comptes 2023 natures'!BD137/'4.1 Comptes 2023 natures'!BD3</f>
        <v>4.533991522240704E-3</v>
      </c>
      <c r="BE137" s="13">
        <f>'4.1 Comptes 2023 natures'!BE137/'4.1 Comptes 2023 natures'!BE3</f>
        <v>0</v>
      </c>
      <c r="BF137" s="13">
        <f>'4.1 Comptes 2023 natures'!BF137/'4.1 Comptes 2023 natures'!BF3</f>
        <v>0</v>
      </c>
      <c r="BG137" s="13">
        <f>'4.1 Comptes 2023 natures'!BG137/'4.1 Comptes 2023 natures'!BG3</f>
        <v>1.3876914234101079E-2</v>
      </c>
    </row>
    <row r="138" spans="2:59" x14ac:dyDescent="0.2">
      <c r="C138" s="8">
        <v>486</v>
      </c>
      <c r="D138" s="8" t="s">
        <v>183</v>
      </c>
      <c r="E138" s="13">
        <f>'4.1 Comptes 2023 natures'!E138/'4.1 Comptes 2023 natures'!E3</f>
        <v>0</v>
      </c>
      <c r="F138" s="13">
        <f>'4.1 Comptes 2023 natures'!F138/'4.1 Comptes 2023 natures'!F3</f>
        <v>0</v>
      </c>
      <c r="G138" s="13">
        <f>'4.1 Comptes 2023 natures'!G138/'4.1 Comptes 2023 natures'!G3</f>
        <v>0</v>
      </c>
      <c r="H138" s="13">
        <f>'4.1 Comptes 2023 natures'!H138/'4.1 Comptes 2023 natures'!H3</f>
        <v>0</v>
      </c>
      <c r="I138" s="13">
        <f>'4.1 Comptes 2023 natures'!I138/'4.1 Comptes 2023 natures'!I3</f>
        <v>0</v>
      </c>
      <c r="J138" s="13">
        <f>'4.1 Comptes 2023 natures'!J138/'4.1 Comptes 2023 natures'!J3</f>
        <v>0</v>
      </c>
      <c r="K138" s="13">
        <f>'4.1 Comptes 2023 natures'!K138/'4.1 Comptes 2023 natures'!K3</f>
        <v>0</v>
      </c>
      <c r="L138" s="13">
        <f>'4.1 Comptes 2023 natures'!L138/'4.1 Comptes 2023 natures'!L3</f>
        <v>0</v>
      </c>
      <c r="M138" s="13">
        <f>'4.1 Comptes 2023 natures'!M138/'4.1 Comptes 2023 natures'!M3</f>
        <v>0</v>
      </c>
      <c r="N138" s="13">
        <f>'4.1 Comptes 2023 natures'!N138/'4.1 Comptes 2023 natures'!N3</f>
        <v>0</v>
      </c>
      <c r="O138" s="13">
        <f>'4.1 Comptes 2023 natures'!O138/'4.1 Comptes 2023 natures'!O3</f>
        <v>0</v>
      </c>
      <c r="P138" s="13">
        <f>'4.1 Comptes 2023 natures'!P138/'4.1 Comptes 2023 natures'!P3</f>
        <v>0</v>
      </c>
      <c r="Q138" s="13">
        <f>'4.1 Comptes 2023 natures'!Q138/'4.1 Comptes 2023 natures'!Q3</f>
        <v>0</v>
      </c>
      <c r="R138" s="13">
        <f>'4.1 Comptes 2023 natures'!R138/'4.1 Comptes 2023 natures'!R3</f>
        <v>0</v>
      </c>
      <c r="S138" s="13">
        <f>'4.1 Comptes 2023 natures'!S138/'4.1 Comptes 2023 natures'!S3</f>
        <v>0</v>
      </c>
      <c r="T138" s="13">
        <f>'4.1 Comptes 2023 natures'!T138/'4.1 Comptes 2023 natures'!T3</f>
        <v>0</v>
      </c>
      <c r="U138" s="13">
        <f>'4.1 Comptes 2023 natures'!U138/'4.1 Comptes 2023 natures'!U3</f>
        <v>0</v>
      </c>
      <c r="V138" s="13">
        <f>'4.1 Comptes 2023 natures'!V138/'4.1 Comptes 2023 natures'!V3</f>
        <v>0</v>
      </c>
      <c r="W138" s="13">
        <f>'4.1 Comptes 2023 natures'!W138/'4.1 Comptes 2023 natures'!W3</f>
        <v>0</v>
      </c>
      <c r="X138" s="13">
        <f>'4.1 Comptes 2023 natures'!X138/'4.1 Comptes 2023 natures'!X3</f>
        <v>0</v>
      </c>
      <c r="Y138" s="13">
        <f>'4.1 Comptes 2023 natures'!Y138/'4.1 Comptes 2023 natures'!Y3</f>
        <v>0</v>
      </c>
      <c r="Z138" s="13">
        <f>'4.1 Comptes 2023 natures'!Z138/'4.1 Comptes 2023 natures'!Z3</f>
        <v>0</v>
      </c>
      <c r="AA138" s="13">
        <f>'4.1 Comptes 2023 natures'!AA138/'4.1 Comptes 2023 natures'!AA3</f>
        <v>0</v>
      </c>
      <c r="AB138" s="13">
        <f>'4.1 Comptes 2023 natures'!AB138/'4.1 Comptes 2023 natures'!AB3</f>
        <v>0</v>
      </c>
      <c r="AC138" s="13">
        <f>'4.1 Comptes 2023 natures'!AC138/'4.1 Comptes 2023 natures'!AC3</f>
        <v>0</v>
      </c>
      <c r="AD138" s="13">
        <f>'4.1 Comptes 2023 natures'!AD138/'4.1 Comptes 2023 natures'!AD3</f>
        <v>0</v>
      </c>
      <c r="AE138" s="13">
        <f>'4.1 Comptes 2023 natures'!AE138/'4.1 Comptes 2023 natures'!AE3</f>
        <v>0</v>
      </c>
      <c r="AF138" s="13">
        <f>'4.1 Comptes 2023 natures'!AF138/'4.1 Comptes 2023 natures'!AF3</f>
        <v>0</v>
      </c>
      <c r="AG138" s="13">
        <f>'4.1 Comptes 2023 natures'!AG138/'4.1 Comptes 2023 natures'!AG3</f>
        <v>0</v>
      </c>
      <c r="AH138" s="13">
        <f>'4.1 Comptes 2023 natures'!AH138/'4.1 Comptes 2023 natures'!AH3</f>
        <v>0</v>
      </c>
      <c r="AI138" s="13">
        <f>'4.1 Comptes 2023 natures'!AI138/'4.1 Comptes 2023 natures'!AI3</f>
        <v>0</v>
      </c>
      <c r="AJ138" s="13">
        <f>'4.1 Comptes 2023 natures'!AJ138/'4.1 Comptes 2023 natures'!AJ3</f>
        <v>0</v>
      </c>
      <c r="AK138" s="13">
        <f>'4.1 Comptes 2023 natures'!AK138/'4.1 Comptes 2023 natures'!AK3</f>
        <v>0</v>
      </c>
      <c r="AL138" s="13">
        <f>'4.1 Comptes 2023 natures'!AL138/'4.1 Comptes 2023 natures'!AL3</f>
        <v>0</v>
      </c>
      <c r="AM138" s="13">
        <f>'4.1 Comptes 2023 natures'!AM138/'4.1 Comptes 2023 natures'!AM3</f>
        <v>0</v>
      </c>
      <c r="AN138" s="13">
        <f>'4.1 Comptes 2023 natures'!AN138/'4.1 Comptes 2023 natures'!AN3</f>
        <v>0</v>
      </c>
      <c r="AO138" s="13">
        <f>'4.1 Comptes 2023 natures'!AO138/'4.1 Comptes 2023 natures'!AO3</f>
        <v>0</v>
      </c>
      <c r="AP138" s="13">
        <f>'4.1 Comptes 2023 natures'!AP138/'4.1 Comptes 2023 natures'!AP3</f>
        <v>0</v>
      </c>
      <c r="AQ138" s="13">
        <f>'4.1 Comptes 2023 natures'!AQ138/'4.1 Comptes 2023 natures'!AQ3</f>
        <v>0</v>
      </c>
      <c r="AR138" s="13">
        <f>'4.1 Comptes 2023 natures'!AR138/'4.1 Comptes 2023 natures'!AR3</f>
        <v>0</v>
      </c>
      <c r="AS138" s="13">
        <f>'4.1 Comptes 2023 natures'!AS138/'4.1 Comptes 2023 natures'!AS3</f>
        <v>0</v>
      </c>
      <c r="AT138" s="13">
        <f>'4.1 Comptes 2023 natures'!AT138/'4.1 Comptes 2023 natures'!AT3</f>
        <v>0</v>
      </c>
      <c r="AU138" s="13">
        <f>'4.1 Comptes 2023 natures'!AU138/'4.1 Comptes 2023 natures'!AU3</f>
        <v>0</v>
      </c>
      <c r="AV138" s="13">
        <f>'4.1 Comptes 2023 natures'!AV138/'4.1 Comptes 2023 natures'!AV3</f>
        <v>0</v>
      </c>
      <c r="AW138" s="13">
        <f>'4.1 Comptes 2023 natures'!AW138/'4.1 Comptes 2023 natures'!AW3</f>
        <v>0</v>
      </c>
      <c r="AX138" s="13">
        <f>'4.1 Comptes 2023 natures'!AX138/'4.1 Comptes 2023 natures'!AX3</f>
        <v>0</v>
      </c>
      <c r="AY138" s="13">
        <f>'4.1 Comptes 2023 natures'!AY138/'4.1 Comptes 2023 natures'!AY3</f>
        <v>0</v>
      </c>
      <c r="AZ138" s="13">
        <f>'4.1 Comptes 2023 natures'!AZ138/'4.1 Comptes 2023 natures'!AZ3</f>
        <v>0</v>
      </c>
      <c r="BA138" s="13">
        <f>'4.1 Comptes 2023 natures'!BA138/'4.1 Comptes 2023 natures'!BA3</f>
        <v>0</v>
      </c>
      <c r="BB138" s="13">
        <f>'4.1 Comptes 2023 natures'!BB138/'4.1 Comptes 2023 natures'!BB3</f>
        <v>0</v>
      </c>
      <c r="BC138" s="13">
        <f>'4.1 Comptes 2023 natures'!BC138/'4.1 Comptes 2023 natures'!BC3</f>
        <v>0</v>
      </c>
      <c r="BD138" s="13">
        <f>'4.1 Comptes 2023 natures'!BD138/'4.1 Comptes 2023 natures'!BD3</f>
        <v>0</v>
      </c>
      <c r="BE138" s="13">
        <f>'4.1 Comptes 2023 natures'!BE138/'4.1 Comptes 2023 natures'!BE3</f>
        <v>0</v>
      </c>
      <c r="BF138" s="13">
        <f>'4.1 Comptes 2023 natures'!BF138/'4.1 Comptes 2023 natures'!BF3</f>
        <v>0</v>
      </c>
      <c r="BG138" s="13">
        <f>'4.1 Comptes 2023 natures'!BG138/'4.1 Comptes 2023 natures'!BG3</f>
        <v>0</v>
      </c>
    </row>
    <row r="139" spans="2:59" x14ac:dyDescent="0.2">
      <c r="C139" s="8">
        <v>489</v>
      </c>
      <c r="D139" s="8" t="s">
        <v>184</v>
      </c>
      <c r="E139" s="13">
        <f>'4.1 Comptes 2023 natures'!E139/'4.1 Comptes 2023 natures'!E3</f>
        <v>7.7761394380853277</v>
      </c>
      <c r="F139" s="13">
        <f>'4.1 Comptes 2023 natures'!F139/'4.1 Comptes 2023 natures'!F3</f>
        <v>0</v>
      </c>
      <c r="G139" s="13">
        <f>'4.1 Comptes 2023 natures'!G139/'4.1 Comptes 2023 natures'!G3</f>
        <v>0</v>
      </c>
      <c r="H139" s="13">
        <f>'4.1 Comptes 2023 natures'!H139/'4.1 Comptes 2023 natures'!H3</f>
        <v>5.7807865168539321</v>
      </c>
      <c r="I139" s="13">
        <f>'4.1 Comptes 2023 natures'!I139/'4.1 Comptes 2023 natures'!I3</f>
        <v>44.901772566130347</v>
      </c>
      <c r="J139" s="13">
        <f>'4.1 Comptes 2023 natures'!J139/'4.1 Comptes 2023 natures'!J3</f>
        <v>0</v>
      </c>
      <c r="K139" s="13">
        <f>'4.1 Comptes 2023 natures'!K139/'4.1 Comptes 2023 natures'!K3</f>
        <v>5.3112151248164468</v>
      </c>
      <c r="L139" s="13">
        <f>'4.1 Comptes 2023 natures'!L139/'4.1 Comptes 2023 natures'!L3</f>
        <v>98.430724546667719</v>
      </c>
      <c r="M139" s="13">
        <f>'4.1 Comptes 2023 natures'!M139/'4.1 Comptes 2023 natures'!M3</f>
        <v>7.7988338192419828</v>
      </c>
      <c r="N139" s="13">
        <f>'4.1 Comptes 2023 natures'!N139/'4.1 Comptes 2023 natures'!N3</f>
        <v>0</v>
      </c>
      <c r="O139" s="13">
        <f>'4.1 Comptes 2023 natures'!O139/'4.1 Comptes 2023 natures'!O3</f>
        <v>56.112406954631894</v>
      </c>
      <c r="P139" s="13">
        <f>'4.1 Comptes 2023 natures'!P139/'4.1 Comptes 2023 natures'!P3</f>
        <v>5.6099065420560752</v>
      </c>
      <c r="Q139" s="13">
        <f>'4.1 Comptes 2023 natures'!Q139/'4.1 Comptes 2023 natures'!Q3</f>
        <v>0</v>
      </c>
      <c r="R139" s="13">
        <f>'4.1 Comptes 2023 natures'!R139/'4.1 Comptes 2023 natures'!R3</f>
        <v>0</v>
      </c>
      <c r="S139" s="13">
        <f>'4.1 Comptes 2023 natures'!S139/'4.1 Comptes 2023 natures'!S3</f>
        <v>0</v>
      </c>
      <c r="T139" s="13">
        <f>'4.1 Comptes 2023 natures'!T139/'4.1 Comptes 2023 natures'!T3</f>
        <v>11.869031377899045</v>
      </c>
      <c r="U139" s="13">
        <f>'4.1 Comptes 2023 natures'!U139/'4.1 Comptes 2023 natures'!U3</f>
        <v>2.445238095238095</v>
      </c>
      <c r="V139" s="13">
        <f>'4.1 Comptes 2023 natures'!V139/'4.1 Comptes 2023 natures'!V3</f>
        <v>0</v>
      </c>
      <c r="W139" s="13">
        <f>'4.1 Comptes 2023 natures'!W139/'4.1 Comptes 2023 natures'!W3</f>
        <v>4.069379014989293</v>
      </c>
      <c r="X139" s="13">
        <f>'4.1 Comptes 2023 natures'!X139/'4.1 Comptes 2023 natures'!X3</f>
        <v>0</v>
      </c>
      <c r="Y139" s="13">
        <f>'4.1 Comptes 2023 natures'!Y139/'4.1 Comptes 2023 natures'!Y3</f>
        <v>0</v>
      </c>
      <c r="Z139" s="13">
        <f>'4.1 Comptes 2023 natures'!Z139/'4.1 Comptes 2023 natures'!Z3</f>
        <v>0</v>
      </c>
      <c r="AA139" s="13">
        <f>'4.1 Comptes 2023 natures'!AA139/'4.1 Comptes 2023 natures'!AA3</f>
        <v>0</v>
      </c>
      <c r="AB139" s="13">
        <f>'4.1 Comptes 2023 natures'!AB139/'4.1 Comptes 2023 natures'!AB3</f>
        <v>0</v>
      </c>
      <c r="AC139" s="13">
        <f>'4.1 Comptes 2023 natures'!AC139/'4.1 Comptes 2023 natures'!AC3</f>
        <v>0</v>
      </c>
      <c r="AD139" s="13">
        <f>'4.1 Comptes 2023 natures'!AD139/'4.1 Comptes 2023 natures'!AD3</f>
        <v>0</v>
      </c>
      <c r="AE139" s="13">
        <f>'4.1 Comptes 2023 natures'!AE139/'4.1 Comptes 2023 natures'!AE3</f>
        <v>0</v>
      </c>
      <c r="AF139" s="13">
        <f>'4.1 Comptes 2023 natures'!AF139/'4.1 Comptes 2023 natures'!AF3</f>
        <v>0</v>
      </c>
      <c r="AG139" s="13">
        <f>'4.1 Comptes 2023 natures'!AG139/'4.1 Comptes 2023 natures'!AG3</f>
        <v>0</v>
      </c>
      <c r="AH139" s="13">
        <f>'4.1 Comptes 2023 natures'!AH139/'4.1 Comptes 2023 natures'!AH3</f>
        <v>0</v>
      </c>
      <c r="AI139" s="13">
        <f>'4.1 Comptes 2023 natures'!AI139/'4.1 Comptes 2023 natures'!AI3</f>
        <v>0</v>
      </c>
      <c r="AJ139" s="13">
        <f>'4.1 Comptes 2023 natures'!AJ139/'4.1 Comptes 2023 natures'!AJ3</f>
        <v>0</v>
      </c>
      <c r="AK139" s="13">
        <f>'4.1 Comptes 2023 natures'!AK139/'4.1 Comptes 2023 natures'!AK3</f>
        <v>0</v>
      </c>
      <c r="AL139" s="13">
        <f>'4.1 Comptes 2023 natures'!AL139/'4.1 Comptes 2023 natures'!AL3</f>
        <v>0</v>
      </c>
      <c r="AM139" s="13">
        <f>'4.1 Comptes 2023 natures'!AM139/'4.1 Comptes 2023 natures'!AM3</f>
        <v>0</v>
      </c>
      <c r="AN139" s="13">
        <f>'4.1 Comptes 2023 natures'!AN139/'4.1 Comptes 2023 natures'!AN3</f>
        <v>0</v>
      </c>
      <c r="AO139" s="13">
        <f>'4.1 Comptes 2023 natures'!AO139/'4.1 Comptes 2023 natures'!AO3</f>
        <v>0.92671755725190841</v>
      </c>
      <c r="AP139" s="13">
        <f>'4.1 Comptes 2023 natures'!AP139/'4.1 Comptes 2023 natures'!AP3</f>
        <v>0.89857369255150554</v>
      </c>
      <c r="AQ139" s="13">
        <f>'4.1 Comptes 2023 natures'!AQ139/'4.1 Comptes 2023 natures'!AQ3</f>
        <v>0</v>
      </c>
      <c r="AR139" s="13">
        <f>'4.1 Comptes 2023 natures'!AR139/'4.1 Comptes 2023 natures'!AR3</f>
        <v>0.58529819694868235</v>
      </c>
      <c r="AS139" s="13">
        <f>'4.1 Comptes 2023 natures'!AS139/'4.1 Comptes 2023 natures'!AS3</f>
        <v>0</v>
      </c>
      <c r="AT139" s="13">
        <f>'4.1 Comptes 2023 natures'!AT139/'4.1 Comptes 2023 natures'!AT3</f>
        <v>0</v>
      </c>
      <c r="AU139" s="13">
        <f>'4.1 Comptes 2023 natures'!AU139/'4.1 Comptes 2023 natures'!AU3</f>
        <v>0</v>
      </c>
      <c r="AV139" s="13">
        <f>'4.1 Comptes 2023 natures'!AV139/'4.1 Comptes 2023 natures'!AV3</f>
        <v>0.81782945736434109</v>
      </c>
      <c r="AW139" s="13">
        <f>'4.1 Comptes 2023 natures'!AW139/'4.1 Comptes 2023 natures'!AW3</f>
        <v>1.2176308539944904</v>
      </c>
      <c r="AX139" s="13">
        <f>'4.1 Comptes 2023 natures'!AX139/'4.1 Comptes 2023 natures'!AX3</f>
        <v>0.93674698795180722</v>
      </c>
      <c r="AY139" s="13">
        <f>'4.1 Comptes 2023 natures'!AY139/'4.1 Comptes 2023 natures'!AY3</f>
        <v>0.9696417729204615</v>
      </c>
      <c r="AZ139" s="13">
        <f>'4.1 Comptes 2023 natures'!AZ139/'4.1 Comptes 2023 natures'!AZ3</f>
        <v>0.83727034120734911</v>
      </c>
      <c r="BA139" s="13">
        <f>'4.1 Comptes 2023 natures'!BA139/'4.1 Comptes 2023 natures'!BA3</f>
        <v>1.0249763481551561</v>
      </c>
      <c r="BB139" s="13">
        <f>'4.1 Comptes 2023 natures'!BB139/'4.1 Comptes 2023 natures'!BB3</f>
        <v>0</v>
      </c>
      <c r="BC139" s="13">
        <f>'4.1 Comptes 2023 natures'!BC139/'4.1 Comptes 2023 natures'!BC3</f>
        <v>1.0786106032906764</v>
      </c>
      <c r="BD139" s="13">
        <f>'4.1 Comptes 2023 natures'!BD139/'4.1 Comptes 2023 natures'!BD3</f>
        <v>25.475122873853092</v>
      </c>
      <c r="BE139" s="13">
        <f>'4.1 Comptes 2023 natures'!BE139/'4.1 Comptes 2023 natures'!BE3</f>
        <v>47.719315683308125</v>
      </c>
      <c r="BF139" s="13">
        <f>'4.1 Comptes 2023 natures'!BF139/'4.1 Comptes 2023 natures'!BF3</f>
        <v>0</v>
      </c>
      <c r="BG139" s="13">
        <f>'4.1 Comptes 2023 natures'!BG139/'4.1 Comptes 2023 natures'!BG3</f>
        <v>0.26979513076323025</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24">F142+F143+F144+F145+F146+F147+F148+F149</f>
        <v>104.86689655172414</v>
      </c>
      <c r="G141" s="78">
        <f t="shared" si="24"/>
        <v>13.176619433198381</v>
      </c>
      <c r="H141" s="78">
        <f t="shared" si="24"/>
        <v>124.73887640449439</v>
      </c>
      <c r="I141" s="78">
        <f t="shared" si="24"/>
        <v>87.114807744750479</v>
      </c>
      <c r="J141" s="78">
        <f t="shared" si="24"/>
        <v>26.964075382803298</v>
      </c>
      <c r="K141" s="78">
        <f t="shared" si="24"/>
        <v>79.354295154185024</v>
      </c>
      <c r="L141" s="78">
        <f t="shared" si="24"/>
        <v>398.86939163199622</v>
      </c>
      <c r="M141" s="78">
        <f t="shared" si="24"/>
        <v>66.830583090379008</v>
      </c>
      <c r="N141" s="78">
        <f t="shared" si="24"/>
        <v>78.943162393162396</v>
      </c>
      <c r="O141" s="78">
        <f t="shared" si="24"/>
        <v>43.071094811192609</v>
      </c>
      <c r="P141" s="78">
        <f t="shared" si="24"/>
        <v>24.705794392523366</v>
      </c>
      <c r="Q141" s="78">
        <f t="shared" si="24"/>
        <v>0</v>
      </c>
      <c r="R141" s="78">
        <f t="shared" si="24"/>
        <v>166.17059523809522</v>
      </c>
      <c r="S141" s="78">
        <f t="shared" si="24"/>
        <v>0</v>
      </c>
      <c r="T141" s="78">
        <f t="shared" si="24"/>
        <v>0</v>
      </c>
      <c r="U141" s="78">
        <f t="shared" si="24"/>
        <v>0</v>
      </c>
      <c r="V141" s="78">
        <f t="shared" si="24"/>
        <v>169.37354988399071</v>
      </c>
      <c r="W141" s="78">
        <f t="shared" si="24"/>
        <v>36.341388803915571</v>
      </c>
      <c r="X141" s="78">
        <f t="shared" si="24"/>
        <v>0</v>
      </c>
      <c r="Y141" s="78">
        <f t="shared" si="24"/>
        <v>0</v>
      </c>
      <c r="Z141" s="78">
        <f t="shared" si="24"/>
        <v>335.82643118148599</v>
      </c>
      <c r="AA141" s="78">
        <f t="shared" si="24"/>
        <v>0</v>
      </c>
      <c r="AB141" s="78">
        <f t="shared" si="24"/>
        <v>0</v>
      </c>
      <c r="AC141" s="78">
        <f t="shared" si="24"/>
        <v>62.613943661971831</v>
      </c>
      <c r="AD141" s="78">
        <f t="shared" si="24"/>
        <v>20.881625441696112</v>
      </c>
      <c r="AE141" s="78">
        <f t="shared" si="24"/>
        <v>207.84872047244093</v>
      </c>
      <c r="AF141" s="78">
        <f t="shared" si="24"/>
        <v>7.4498978027593257</v>
      </c>
      <c r="AG141" s="78">
        <f t="shared" si="24"/>
        <v>12.032710280373832</v>
      </c>
      <c r="AH141" s="78">
        <f t="shared" si="24"/>
        <v>0</v>
      </c>
      <c r="AI141" s="78">
        <f t="shared" si="24"/>
        <v>0</v>
      </c>
      <c r="AJ141" s="78">
        <f t="shared" si="24"/>
        <v>48.767697954902992</v>
      </c>
      <c r="AK141" s="78">
        <f t="shared" si="24"/>
        <v>49.600396825396821</v>
      </c>
      <c r="AL141" s="78">
        <f t="shared" si="24"/>
        <v>2.4885286783042391</v>
      </c>
      <c r="AM141" s="78">
        <f t="shared" si="24"/>
        <v>103.05303571428571</v>
      </c>
      <c r="AN141" s="78">
        <f t="shared" si="24"/>
        <v>31.676729291204097</v>
      </c>
      <c r="AO141" s="78">
        <f t="shared" si="24"/>
        <v>151.06419847328243</v>
      </c>
      <c r="AP141" s="78">
        <f t="shared" si="24"/>
        <v>0</v>
      </c>
      <c r="AQ141" s="78">
        <f t="shared" si="24"/>
        <v>0</v>
      </c>
      <c r="AR141" s="78">
        <f t="shared" si="24"/>
        <v>70.617711511789182</v>
      </c>
      <c r="AS141" s="78">
        <f t="shared" si="24"/>
        <v>50.549245283018863</v>
      </c>
      <c r="AT141" s="78">
        <f t="shared" si="24"/>
        <v>6.369426751592357</v>
      </c>
      <c r="AU141" s="78">
        <f t="shared" si="24"/>
        <v>55.682674276396249</v>
      </c>
      <c r="AV141" s="78">
        <f t="shared" si="24"/>
        <v>0</v>
      </c>
      <c r="AW141" s="78">
        <f t="shared" si="24"/>
        <v>20.715289256198346</v>
      </c>
      <c r="AX141" s="78">
        <f t="shared" si="24"/>
        <v>0</v>
      </c>
      <c r="AY141" s="78">
        <f t="shared" si="24"/>
        <v>66.109441408621734</v>
      </c>
      <c r="AZ141" s="78">
        <f t="shared" si="24"/>
        <v>0</v>
      </c>
      <c r="BA141" s="78">
        <f t="shared" si="24"/>
        <v>45.052459791863761</v>
      </c>
      <c r="BB141" s="78">
        <f t="shared" si="24"/>
        <v>0</v>
      </c>
      <c r="BC141" s="78">
        <f t="shared" si="24"/>
        <v>28.336380255941499</v>
      </c>
      <c r="BD141" s="78">
        <f t="shared" si="24"/>
        <v>106.93505070558567</v>
      </c>
      <c r="BE141" s="78">
        <f t="shared" si="24"/>
        <v>163.65590393343416</v>
      </c>
      <c r="BF141" s="78">
        <f t="shared" si="24"/>
        <v>72.050944829550858</v>
      </c>
      <c r="BG141" s="78">
        <f t="shared" si="24"/>
        <v>29.660159707681569</v>
      </c>
    </row>
    <row r="142" spans="2:59" x14ac:dyDescent="0.2">
      <c r="C142" s="8">
        <v>490</v>
      </c>
      <c r="D142" s="8" t="s">
        <v>125</v>
      </c>
      <c r="E142" s="13">
        <f>'4.1 Comptes 2023 natures'!E142/'4.1 Comptes 2023 natures'!E3</f>
        <v>0</v>
      </c>
      <c r="F142" s="13">
        <f>'4.1 Comptes 2023 natures'!F142/'4.1 Comptes 2023 natures'!F3</f>
        <v>0.76628352490421459</v>
      </c>
      <c r="G142" s="13">
        <f>'4.1 Comptes 2023 natures'!G142/'4.1 Comptes 2023 natures'!G3</f>
        <v>0</v>
      </c>
      <c r="H142" s="13">
        <f>'4.1 Comptes 2023 natures'!H142/'4.1 Comptes 2023 natures'!H3</f>
        <v>0</v>
      </c>
      <c r="I142" s="13">
        <f>'4.1 Comptes 2023 natures'!I142/'4.1 Comptes 2023 natures'!I3</f>
        <v>0</v>
      </c>
      <c r="J142" s="13">
        <f>'4.1 Comptes 2023 natures'!J142/'4.1 Comptes 2023 natures'!J3</f>
        <v>0</v>
      </c>
      <c r="K142" s="13">
        <f>'4.1 Comptes 2023 natures'!K142/'4.1 Comptes 2023 natures'!K3</f>
        <v>0</v>
      </c>
      <c r="L142" s="13">
        <f>'4.1 Comptes 2023 natures'!L142/'4.1 Comptes 2023 natures'!L3</f>
        <v>20.017269801397283</v>
      </c>
      <c r="M142" s="13">
        <f>'4.1 Comptes 2023 natures'!M142/'4.1 Comptes 2023 natures'!M3</f>
        <v>0.87463556851311952</v>
      </c>
      <c r="N142" s="13">
        <f>'4.1 Comptes 2023 natures'!N142/'4.1 Comptes 2023 natures'!N3</f>
        <v>0</v>
      </c>
      <c r="O142" s="13">
        <f>'4.1 Comptes 2023 natures'!O142/'4.1 Comptes 2023 natures'!O3</f>
        <v>11.295762021189894</v>
      </c>
      <c r="P142" s="13">
        <f>'4.1 Comptes 2023 natures'!P142/'4.1 Comptes 2023 natures'!P3</f>
        <v>0</v>
      </c>
      <c r="Q142" s="13">
        <f>'4.1 Comptes 2023 natures'!Q142/'4.1 Comptes 2023 natures'!Q3</f>
        <v>0</v>
      </c>
      <c r="R142" s="13">
        <f>'4.1 Comptes 2023 natures'!R142/'4.1 Comptes 2023 natures'!R3</f>
        <v>0</v>
      </c>
      <c r="S142" s="13">
        <f>'4.1 Comptes 2023 natures'!S142/'4.1 Comptes 2023 natures'!S3</f>
        <v>0</v>
      </c>
      <c r="T142" s="13">
        <f>'4.1 Comptes 2023 natures'!T142/'4.1 Comptes 2023 natures'!T3</f>
        <v>0</v>
      </c>
      <c r="U142" s="13">
        <f>'4.1 Comptes 2023 natures'!U142/'4.1 Comptes 2023 natures'!U3</f>
        <v>0</v>
      </c>
      <c r="V142" s="13">
        <f>'4.1 Comptes 2023 natures'!V142/'4.1 Comptes 2023 natures'!V3</f>
        <v>0</v>
      </c>
      <c r="W142" s="13">
        <f>'4.1 Comptes 2023 natures'!W142/'4.1 Comptes 2023 natures'!W3</f>
        <v>0</v>
      </c>
      <c r="X142" s="13">
        <f>'4.1 Comptes 2023 natures'!X142/'4.1 Comptes 2023 natures'!X3</f>
        <v>0</v>
      </c>
      <c r="Y142" s="13">
        <f>'4.1 Comptes 2023 natures'!Y142/'4.1 Comptes 2023 natures'!Y3</f>
        <v>0</v>
      </c>
      <c r="Z142" s="13">
        <f>'4.1 Comptes 2023 natures'!Z142/'4.1 Comptes 2023 natures'!Z3</f>
        <v>284.66930572472592</v>
      </c>
      <c r="AA142" s="13">
        <f>'4.1 Comptes 2023 natures'!AA142/'4.1 Comptes 2023 natures'!AA3</f>
        <v>0</v>
      </c>
      <c r="AB142" s="13">
        <f>'4.1 Comptes 2023 natures'!AB142/'4.1 Comptes 2023 natures'!AB3</f>
        <v>0</v>
      </c>
      <c r="AC142" s="13">
        <f>'4.1 Comptes 2023 natures'!AC142/'4.1 Comptes 2023 natures'!AC3</f>
        <v>1.9014084507042253</v>
      </c>
      <c r="AD142" s="13">
        <f>'4.1 Comptes 2023 natures'!AD142/'4.1 Comptes 2023 natures'!AD3</f>
        <v>0</v>
      </c>
      <c r="AE142" s="13">
        <f>'4.1 Comptes 2023 natures'!AE142/'4.1 Comptes 2023 natures'!AE3</f>
        <v>0</v>
      </c>
      <c r="AF142" s="13">
        <f>'4.1 Comptes 2023 natures'!AF142/'4.1 Comptes 2023 natures'!AF3</f>
        <v>2.9946601941747573</v>
      </c>
      <c r="AG142" s="13">
        <f>'4.1 Comptes 2023 natures'!AG142/'4.1 Comptes 2023 natures'!AG3</f>
        <v>0</v>
      </c>
      <c r="AH142" s="13">
        <f>'4.1 Comptes 2023 natures'!AH142/'4.1 Comptes 2023 natures'!AH3</f>
        <v>0</v>
      </c>
      <c r="AI142" s="13">
        <f>'4.1 Comptes 2023 natures'!AI142/'4.1 Comptes 2023 natures'!AI3</f>
        <v>0</v>
      </c>
      <c r="AJ142" s="13">
        <f>'4.1 Comptes 2023 natures'!AJ142/'4.1 Comptes 2023 natures'!AJ3</f>
        <v>0</v>
      </c>
      <c r="AK142" s="13">
        <f>'4.1 Comptes 2023 natures'!AK142/'4.1 Comptes 2023 natures'!AK3</f>
        <v>0</v>
      </c>
      <c r="AL142" s="13">
        <f>'4.1 Comptes 2023 natures'!AL142/'4.1 Comptes 2023 natures'!AL3</f>
        <v>0</v>
      </c>
      <c r="AM142" s="13">
        <f>'4.1 Comptes 2023 natures'!AM142/'4.1 Comptes 2023 natures'!AM3</f>
        <v>0</v>
      </c>
      <c r="AN142" s="13">
        <f>'4.1 Comptes 2023 natures'!AN142/'4.1 Comptes 2023 natures'!AN3</f>
        <v>0</v>
      </c>
      <c r="AO142" s="13">
        <f>'4.1 Comptes 2023 natures'!AO142/'4.1 Comptes 2023 natures'!AO3</f>
        <v>1.2213740458015268</v>
      </c>
      <c r="AP142" s="13">
        <f>'4.1 Comptes 2023 natures'!AP142/'4.1 Comptes 2023 natures'!AP3</f>
        <v>0</v>
      </c>
      <c r="AQ142" s="13">
        <f>'4.1 Comptes 2023 natures'!AQ142/'4.1 Comptes 2023 natures'!AQ3</f>
        <v>0</v>
      </c>
      <c r="AR142" s="13">
        <f>'4.1 Comptes 2023 natures'!AR142/'4.1 Comptes 2023 natures'!AR3</f>
        <v>0</v>
      </c>
      <c r="AS142" s="13">
        <f>'4.1 Comptes 2023 natures'!AS142/'4.1 Comptes 2023 natures'!AS3</f>
        <v>0</v>
      </c>
      <c r="AT142" s="13">
        <f>'4.1 Comptes 2023 natures'!AT142/'4.1 Comptes 2023 natures'!AT3</f>
        <v>0</v>
      </c>
      <c r="AU142" s="13">
        <f>'4.1 Comptes 2023 natures'!AU142/'4.1 Comptes 2023 natures'!AU3</f>
        <v>0</v>
      </c>
      <c r="AV142" s="13">
        <f>'4.1 Comptes 2023 natures'!AV142/'4.1 Comptes 2023 natures'!AV3</f>
        <v>0</v>
      </c>
      <c r="AW142" s="13">
        <f>'4.1 Comptes 2023 natures'!AW142/'4.1 Comptes 2023 natures'!AW3</f>
        <v>0</v>
      </c>
      <c r="AX142" s="13">
        <f>'4.1 Comptes 2023 natures'!AX142/'4.1 Comptes 2023 natures'!AX3</f>
        <v>0</v>
      </c>
      <c r="AY142" s="13">
        <f>'4.1 Comptes 2023 natures'!AY142/'4.1 Comptes 2023 natures'!AY3</f>
        <v>0</v>
      </c>
      <c r="AZ142" s="13">
        <f>'4.1 Comptes 2023 natures'!AZ142/'4.1 Comptes 2023 natures'!AZ3</f>
        <v>0</v>
      </c>
      <c r="BA142" s="13">
        <f>'4.1 Comptes 2023 natures'!BA142/'4.1 Comptes 2023 natures'!BA3</f>
        <v>0</v>
      </c>
      <c r="BB142" s="13">
        <f>'4.1 Comptes 2023 natures'!BB142/'4.1 Comptes 2023 natures'!BB3</f>
        <v>0</v>
      </c>
      <c r="BC142" s="13">
        <f>'4.1 Comptes 2023 natures'!BC142/'4.1 Comptes 2023 natures'!BC3</f>
        <v>0</v>
      </c>
      <c r="BD142" s="13">
        <f>'4.1 Comptes 2023 natures'!BD142/'4.1 Comptes 2023 natures'!BD3</f>
        <v>10.932512609325537</v>
      </c>
      <c r="BE142" s="13">
        <f>'4.1 Comptes 2023 natures'!BE142/'4.1 Comptes 2023 natures'!BE3</f>
        <v>8.5617599596570866</v>
      </c>
      <c r="BF142" s="13">
        <f>'4.1 Comptes 2023 natures'!BF142/'4.1 Comptes 2023 natures'!BF3</f>
        <v>45.070510872661664</v>
      </c>
      <c r="BG142" s="13">
        <f>'4.1 Comptes 2023 natures'!BG142/'4.1 Comptes 2023 natures'!BG3</f>
        <v>3.2844767417990722E-2</v>
      </c>
    </row>
    <row r="143" spans="2:59" x14ac:dyDescent="0.2">
      <c r="C143" s="8">
        <v>491</v>
      </c>
      <c r="D143" s="8" t="s">
        <v>126</v>
      </c>
      <c r="E143" s="13">
        <f>'4.1 Comptes 2023 natures'!E143/'4.1 Comptes 2023 natures'!E3</f>
        <v>0</v>
      </c>
      <c r="F143" s="13">
        <f>'4.1 Comptes 2023 natures'!F143/'4.1 Comptes 2023 natures'!F3</f>
        <v>19.95153256704981</v>
      </c>
      <c r="G143" s="13">
        <f>'4.1 Comptes 2023 natures'!G143/'4.1 Comptes 2023 natures'!G3</f>
        <v>9.2692307692307701</v>
      </c>
      <c r="H143" s="13">
        <f>'4.1 Comptes 2023 natures'!H143/'4.1 Comptes 2023 natures'!H3</f>
        <v>123.93887640449439</v>
      </c>
      <c r="I143" s="13">
        <f>'4.1 Comptes 2023 natures'!I143/'4.1 Comptes 2023 natures'!I3</f>
        <v>87.114807744750479</v>
      </c>
      <c r="J143" s="13">
        <f>'4.1 Comptes 2023 natures'!J143/'4.1 Comptes 2023 natures'!J3</f>
        <v>26.964075382803298</v>
      </c>
      <c r="K143" s="13">
        <f>'4.1 Comptes 2023 natures'!K143/'4.1 Comptes 2023 natures'!K3</f>
        <v>45.504772393538914</v>
      </c>
      <c r="L143" s="13">
        <f>'4.1 Comptes 2023 natures'!L143/'4.1 Comptes 2023 natures'!L3</f>
        <v>113.41599419106682</v>
      </c>
      <c r="M143" s="13">
        <f>'4.1 Comptes 2023 natures'!M143/'4.1 Comptes 2023 natures'!M3</f>
        <v>43.18888483965015</v>
      </c>
      <c r="N143" s="13">
        <f>'4.1 Comptes 2023 natures'!N143/'4.1 Comptes 2023 natures'!N3</f>
        <v>78.943162393162396</v>
      </c>
      <c r="O143" s="13">
        <f>'4.1 Comptes 2023 natures'!O143/'4.1 Comptes 2023 natures'!O3</f>
        <v>31.775332790002718</v>
      </c>
      <c r="P143" s="13">
        <f>'4.1 Comptes 2023 natures'!P143/'4.1 Comptes 2023 natures'!P3</f>
        <v>24.705794392523366</v>
      </c>
      <c r="Q143" s="13">
        <f>'4.1 Comptes 2023 natures'!Q143/'4.1 Comptes 2023 natures'!Q3</f>
        <v>0</v>
      </c>
      <c r="R143" s="13">
        <f>'4.1 Comptes 2023 natures'!R143/'4.1 Comptes 2023 natures'!R3</f>
        <v>166.17059523809522</v>
      </c>
      <c r="S143" s="13">
        <f>'4.1 Comptes 2023 natures'!S143/'4.1 Comptes 2023 natures'!S3</f>
        <v>0</v>
      </c>
      <c r="T143" s="13">
        <f>'4.1 Comptes 2023 natures'!T143/'4.1 Comptes 2023 natures'!T3</f>
        <v>0</v>
      </c>
      <c r="U143" s="13">
        <f>'4.1 Comptes 2023 natures'!U143/'4.1 Comptes 2023 natures'!U3</f>
        <v>0</v>
      </c>
      <c r="V143" s="13">
        <f>'4.1 Comptes 2023 natures'!V143/'4.1 Comptes 2023 natures'!V3</f>
        <v>169.37354988399071</v>
      </c>
      <c r="W143" s="13">
        <f>'4.1 Comptes 2023 natures'!W143/'4.1 Comptes 2023 natures'!W3</f>
        <v>28.265524625267666</v>
      </c>
      <c r="X143" s="13">
        <f>'4.1 Comptes 2023 natures'!X143/'4.1 Comptes 2023 natures'!X3</f>
        <v>0</v>
      </c>
      <c r="Y143" s="13">
        <f>'4.1 Comptes 2023 natures'!Y143/'4.1 Comptes 2023 natures'!Y3</f>
        <v>0</v>
      </c>
      <c r="Z143" s="13">
        <f>'4.1 Comptes 2023 natures'!Z143/'4.1 Comptes 2023 natures'!Z3</f>
        <v>0</v>
      </c>
      <c r="AA143" s="13">
        <f>'4.1 Comptes 2023 natures'!AA143/'4.1 Comptes 2023 natures'!AA3</f>
        <v>0</v>
      </c>
      <c r="AB143" s="13">
        <f>'4.1 Comptes 2023 natures'!AB143/'4.1 Comptes 2023 natures'!AB3</f>
        <v>0</v>
      </c>
      <c r="AC143" s="13">
        <f>'4.1 Comptes 2023 natures'!AC143/'4.1 Comptes 2023 natures'!AC3</f>
        <v>60.712535211267607</v>
      </c>
      <c r="AD143" s="13">
        <f>'4.1 Comptes 2023 natures'!AD143/'4.1 Comptes 2023 natures'!AD3</f>
        <v>20.881625441696112</v>
      </c>
      <c r="AE143" s="13">
        <f>'4.1 Comptes 2023 natures'!AE143/'4.1 Comptes 2023 natures'!AE3</f>
        <v>207.84872047244093</v>
      </c>
      <c r="AF143" s="13">
        <f>'4.1 Comptes 2023 natures'!AF143/'4.1 Comptes 2023 natures'!AF3</f>
        <v>4.455237608584568</v>
      </c>
      <c r="AG143" s="13">
        <f>'4.1 Comptes 2023 natures'!AG143/'4.1 Comptes 2023 natures'!AG3</f>
        <v>12.032710280373832</v>
      </c>
      <c r="AH143" s="13">
        <f>'4.1 Comptes 2023 natures'!AH143/'4.1 Comptes 2023 natures'!AH3</f>
        <v>0</v>
      </c>
      <c r="AI143" s="13">
        <f>'4.1 Comptes 2023 natures'!AI143/'4.1 Comptes 2023 natures'!AI3</f>
        <v>0</v>
      </c>
      <c r="AJ143" s="13">
        <f>'4.1 Comptes 2023 natures'!AJ143/'4.1 Comptes 2023 natures'!AJ3</f>
        <v>48.767697954902992</v>
      </c>
      <c r="AK143" s="13">
        <f>'4.1 Comptes 2023 natures'!AK143/'4.1 Comptes 2023 natures'!AK3</f>
        <v>0</v>
      </c>
      <c r="AL143" s="13">
        <f>'4.1 Comptes 2023 natures'!AL143/'4.1 Comptes 2023 natures'!AL3</f>
        <v>2.4885286783042391</v>
      </c>
      <c r="AM143" s="13">
        <f>'4.1 Comptes 2023 natures'!AM143/'4.1 Comptes 2023 natures'!AM3</f>
        <v>103.05303571428571</v>
      </c>
      <c r="AN143" s="13">
        <f>'4.1 Comptes 2023 natures'!AN143/'4.1 Comptes 2023 natures'!AN3</f>
        <v>31.676729291204097</v>
      </c>
      <c r="AO143" s="13">
        <f>'4.1 Comptes 2023 natures'!AO143/'4.1 Comptes 2023 natures'!AO3</f>
        <v>97.769312977099233</v>
      </c>
      <c r="AP143" s="13">
        <f>'4.1 Comptes 2023 natures'!AP143/'4.1 Comptes 2023 natures'!AP3</f>
        <v>0</v>
      </c>
      <c r="AQ143" s="13">
        <f>'4.1 Comptes 2023 natures'!AQ143/'4.1 Comptes 2023 natures'!AQ3</f>
        <v>0</v>
      </c>
      <c r="AR143" s="13">
        <f>'4.1 Comptes 2023 natures'!AR143/'4.1 Comptes 2023 natures'!AR3</f>
        <v>0</v>
      </c>
      <c r="AS143" s="13">
        <f>'4.1 Comptes 2023 natures'!AS143/'4.1 Comptes 2023 natures'!AS3</f>
        <v>50.549245283018863</v>
      </c>
      <c r="AT143" s="13">
        <f>'4.1 Comptes 2023 natures'!AT143/'4.1 Comptes 2023 natures'!AT3</f>
        <v>6.369426751592357</v>
      </c>
      <c r="AU143" s="13">
        <f>'4.1 Comptes 2023 natures'!AU143/'4.1 Comptes 2023 natures'!AU3</f>
        <v>55.682674276396249</v>
      </c>
      <c r="AV143" s="13">
        <f>'4.1 Comptes 2023 natures'!AV143/'4.1 Comptes 2023 natures'!AV3</f>
        <v>0</v>
      </c>
      <c r="AW143" s="13">
        <f>'4.1 Comptes 2023 natures'!AW143/'4.1 Comptes 2023 natures'!AW3</f>
        <v>0</v>
      </c>
      <c r="AX143" s="13">
        <f>'4.1 Comptes 2023 natures'!AX143/'4.1 Comptes 2023 natures'!AX3</f>
        <v>0</v>
      </c>
      <c r="AY143" s="13">
        <f>'4.1 Comptes 2023 natures'!AY143/'4.1 Comptes 2023 natures'!AY3</f>
        <v>61.494990892531874</v>
      </c>
      <c r="AZ143" s="13">
        <f>'4.1 Comptes 2023 natures'!AZ143/'4.1 Comptes 2023 natures'!AZ3</f>
        <v>0</v>
      </c>
      <c r="BA143" s="13">
        <f>'4.1 Comptes 2023 natures'!BA143/'4.1 Comptes 2023 natures'!BA3</f>
        <v>45.052459791863761</v>
      </c>
      <c r="BB143" s="13">
        <f>'4.1 Comptes 2023 natures'!BB143/'4.1 Comptes 2023 natures'!BB3</f>
        <v>0</v>
      </c>
      <c r="BC143" s="13">
        <f>'4.1 Comptes 2023 natures'!BC143/'4.1 Comptes 2023 natures'!BC3</f>
        <v>28.336380255941499</v>
      </c>
      <c r="BD143" s="13">
        <f>'4.1 Comptes 2023 natures'!BD143/'4.1 Comptes 2023 natures'!BD3</f>
        <v>45.084035654880083</v>
      </c>
      <c r="BE143" s="13">
        <f>'4.1 Comptes 2023 natures'!BE143/'4.1 Comptes 2023 natures'!BE3</f>
        <v>65.445064296520428</v>
      </c>
      <c r="BF143" s="13">
        <f>'4.1 Comptes 2023 natures'!BF143/'4.1 Comptes 2023 natures'!BF3</f>
        <v>19.003983477352577</v>
      </c>
      <c r="BG143" s="13">
        <f>'4.1 Comptes 2023 natures'!BG143/'4.1 Comptes 2023 natures'!BG3</f>
        <v>23.206572648519931</v>
      </c>
    </row>
    <row r="144" spans="2:59" x14ac:dyDescent="0.2">
      <c r="C144" s="8">
        <v>492</v>
      </c>
      <c r="D144" s="8" t="s">
        <v>185</v>
      </c>
      <c r="E144" s="13">
        <f>'4.1 Comptes 2023 natures'!E144/'4.1 Comptes 2023 natures'!E3</f>
        <v>0</v>
      </c>
      <c r="F144" s="13">
        <f>'4.1 Comptes 2023 natures'!F144/'4.1 Comptes 2023 natures'!F3</f>
        <v>0</v>
      </c>
      <c r="G144" s="13">
        <f>'4.1 Comptes 2023 natures'!G144/'4.1 Comptes 2023 natures'!G3</f>
        <v>0</v>
      </c>
      <c r="H144" s="13">
        <f>'4.1 Comptes 2023 natures'!H144/'4.1 Comptes 2023 natures'!H3</f>
        <v>0</v>
      </c>
      <c r="I144" s="13">
        <f>'4.1 Comptes 2023 natures'!I144/'4.1 Comptes 2023 natures'!I3</f>
        <v>0</v>
      </c>
      <c r="J144" s="13">
        <f>'4.1 Comptes 2023 natures'!J144/'4.1 Comptes 2023 natures'!J3</f>
        <v>0</v>
      </c>
      <c r="K144" s="13">
        <f>'4.1 Comptes 2023 natures'!K144/'4.1 Comptes 2023 natures'!K3</f>
        <v>0</v>
      </c>
      <c r="L144" s="13">
        <f>'4.1 Comptes 2023 natures'!L144/'4.1 Comptes 2023 natures'!L3</f>
        <v>9.4198916712457805</v>
      </c>
      <c r="M144" s="13">
        <f>'4.1 Comptes 2023 natures'!M144/'4.1 Comptes 2023 natures'!M3</f>
        <v>0</v>
      </c>
      <c r="N144" s="13">
        <f>'4.1 Comptes 2023 natures'!N144/'4.1 Comptes 2023 natures'!N3</f>
        <v>0</v>
      </c>
      <c r="O144" s="13">
        <f>'4.1 Comptes 2023 natures'!O144/'4.1 Comptes 2023 natures'!O3</f>
        <v>0</v>
      </c>
      <c r="P144" s="13">
        <f>'4.1 Comptes 2023 natures'!P144/'4.1 Comptes 2023 natures'!P3</f>
        <v>0</v>
      </c>
      <c r="Q144" s="13">
        <f>'4.1 Comptes 2023 natures'!Q144/'4.1 Comptes 2023 natures'!Q3</f>
        <v>0</v>
      </c>
      <c r="R144" s="13">
        <f>'4.1 Comptes 2023 natures'!R144/'4.1 Comptes 2023 natures'!R3</f>
        <v>0</v>
      </c>
      <c r="S144" s="13">
        <f>'4.1 Comptes 2023 natures'!S144/'4.1 Comptes 2023 natures'!S3</f>
        <v>0</v>
      </c>
      <c r="T144" s="13">
        <f>'4.1 Comptes 2023 natures'!T144/'4.1 Comptes 2023 natures'!T3</f>
        <v>0</v>
      </c>
      <c r="U144" s="13">
        <f>'4.1 Comptes 2023 natures'!U144/'4.1 Comptes 2023 natures'!U3</f>
        <v>0</v>
      </c>
      <c r="V144" s="13">
        <f>'4.1 Comptes 2023 natures'!V144/'4.1 Comptes 2023 natures'!V3</f>
        <v>0</v>
      </c>
      <c r="W144" s="13">
        <f>'4.1 Comptes 2023 natures'!W144/'4.1 Comptes 2023 natures'!W3</f>
        <v>2.5695931477516059</v>
      </c>
      <c r="X144" s="13">
        <f>'4.1 Comptes 2023 natures'!X144/'4.1 Comptes 2023 natures'!X3</f>
        <v>0</v>
      </c>
      <c r="Y144" s="13">
        <f>'4.1 Comptes 2023 natures'!Y144/'4.1 Comptes 2023 natures'!Y3</f>
        <v>0</v>
      </c>
      <c r="Z144" s="13">
        <f>'4.1 Comptes 2023 natures'!Z144/'4.1 Comptes 2023 natures'!Z3</f>
        <v>51.157125456760049</v>
      </c>
      <c r="AA144" s="13">
        <f>'4.1 Comptes 2023 natures'!AA144/'4.1 Comptes 2023 natures'!AA3</f>
        <v>0</v>
      </c>
      <c r="AB144" s="13">
        <f>'4.1 Comptes 2023 natures'!AB144/'4.1 Comptes 2023 natures'!AB3</f>
        <v>0</v>
      </c>
      <c r="AC144" s="13">
        <f>'4.1 Comptes 2023 natures'!AC144/'4.1 Comptes 2023 natures'!AC3</f>
        <v>0</v>
      </c>
      <c r="AD144" s="13">
        <f>'4.1 Comptes 2023 natures'!AD144/'4.1 Comptes 2023 natures'!AD3</f>
        <v>0</v>
      </c>
      <c r="AE144" s="13">
        <f>'4.1 Comptes 2023 natures'!AE144/'4.1 Comptes 2023 natures'!AE3</f>
        <v>0</v>
      </c>
      <c r="AF144" s="13">
        <f>'4.1 Comptes 2023 natures'!AF144/'4.1 Comptes 2023 natures'!AF3</f>
        <v>0</v>
      </c>
      <c r="AG144" s="13">
        <f>'4.1 Comptes 2023 natures'!AG144/'4.1 Comptes 2023 natures'!AG3</f>
        <v>0</v>
      </c>
      <c r="AH144" s="13">
        <f>'4.1 Comptes 2023 natures'!AH144/'4.1 Comptes 2023 natures'!AH3</f>
        <v>0</v>
      </c>
      <c r="AI144" s="13">
        <f>'4.1 Comptes 2023 natures'!AI144/'4.1 Comptes 2023 natures'!AI3</f>
        <v>0</v>
      </c>
      <c r="AJ144" s="13">
        <f>'4.1 Comptes 2023 natures'!AJ144/'4.1 Comptes 2023 natures'!AJ3</f>
        <v>0</v>
      </c>
      <c r="AK144" s="13">
        <f>'4.1 Comptes 2023 natures'!AK144/'4.1 Comptes 2023 natures'!AK3</f>
        <v>0</v>
      </c>
      <c r="AL144" s="13">
        <f>'4.1 Comptes 2023 natures'!AL144/'4.1 Comptes 2023 natures'!AL3</f>
        <v>0</v>
      </c>
      <c r="AM144" s="13">
        <f>'4.1 Comptes 2023 natures'!AM144/'4.1 Comptes 2023 natures'!AM3</f>
        <v>0</v>
      </c>
      <c r="AN144" s="13">
        <f>'4.1 Comptes 2023 natures'!AN144/'4.1 Comptes 2023 natures'!AN3</f>
        <v>0</v>
      </c>
      <c r="AO144" s="13">
        <f>'4.1 Comptes 2023 natures'!AO144/'4.1 Comptes 2023 natures'!AO3</f>
        <v>0</v>
      </c>
      <c r="AP144" s="13">
        <f>'4.1 Comptes 2023 natures'!AP144/'4.1 Comptes 2023 natures'!AP3</f>
        <v>0</v>
      </c>
      <c r="AQ144" s="13">
        <f>'4.1 Comptes 2023 natures'!AQ144/'4.1 Comptes 2023 natures'!AQ3</f>
        <v>0</v>
      </c>
      <c r="AR144" s="13">
        <f>'4.1 Comptes 2023 natures'!AR144/'4.1 Comptes 2023 natures'!AR3</f>
        <v>0</v>
      </c>
      <c r="AS144" s="13">
        <f>'4.1 Comptes 2023 natures'!AS144/'4.1 Comptes 2023 natures'!AS3</f>
        <v>0</v>
      </c>
      <c r="AT144" s="13">
        <f>'4.1 Comptes 2023 natures'!AT144/'4.1 Comptes 2023 natures'!AT3</f>
        <v>0</v>
      </c>
      <c r="AU144" s="13">
        <f>'4.1 Comptes 2023 natures'!AU144/'4.1 Comptes 2023 natures'!AU3</f>
        <v>0</v>
      </c>
      <c r="AV144" s="13">
        <f>'4.1 Comptes 2023 natures'!AV144/'4.1 Comptes 2023 natures'!AV3</f>
        <v>0</v>
      </c>
      <c r="AW144" s="13">
        <f>'4.1 Comptes 2023 natures'!AW144/'4.1 Comptes 2023 natures'!AW3</f>
        <v>0</v>
      </c>
      <c r="AX144" s="13">
        <f>'4.1 Comptes 2023 natures'!AX144/'4.1 Comptes 2023 natures'!AX3</f>
        <v>0</v>
      </c>
      <c r="AY144" s="13">
        <f>'4.1 Comptes 2023 natures'!AY144/'4.1 Comptes 2023 natures'!AY3</f>
        <v>0</v>
      </c>
      <c r="AZ144" s="13">
        <f>'4.1 Comptes 2023 natures'!AZ144/'4.1 Comptes 2023 natures'!AZ3</f>
        <v>0</v>
      </c>
      <c r="BA144" s="13">
        <f>'4.1 Comptes 2023 natures'!BA144/'4.1 Comptes 2023 natures'!BA3</f>
        <v>0</v>
      </c>
      <c r="BB144" s="13">
        <f>'4.1 Comptes 2023 natures'!BB144/'4.1 Comptes 2023 natures'!BB3</f>
        <v>0</v>
      </c>
      <c r="BC144" s="13">
        <f>'4.1 Comptes 2023 natures'!BC144/'4.1 Comptes 2023 natures'!BC3</f>
        <v>0</v>
      </c>
      <c r="BD144" s="13">
        <f>'4.1 Comptes 2023 natures'!BD144/'4.1 Comptes 2023 natures'!BD3</f>
        <v>2.8491710039169393</v>
      </c>
      <c r="BE144" s="13">
        <f>'4.1 Comptes 2023 natures'!BE144/'4.1 Comptes 2023 natures'!BE3</f>
        <v>3.2375189107413012</v>
      </c>
      <c r="BF144" s="13">
        <f>'4.1 Comptes 2023 natures'!BF144/'4.1 Comptes 2023 natures'!BF3</f>
        <v>7.9764504795366058</v>
      </c>
      <c r="BG144" s="13">
        <f>'4.1 Comptes 2023 natures'!BG144/'4.1 Comptes 2023 natures'!BG3</f>
        <v>0</v>
      </c>
    </row>
    <row r="145" spans="1:59" x14ac:dyDescent="0.2">
      <c r="C145" s="8">
        <v>493</v>
      </c>
      <c r="D145" s="8" t="s">
        <v>186</v>
      </c>
      <c r="E145" s="13">
        <f>'4.1 Comptes 2023 natures'!E145/'4.1 Comptes 2023 natures'!E3</f>
        <v>0</v>
      </c>
      <c r="F145" s="13">
        <f>'4.1 Comptes 2023 natures'!F145/'4.1 Comptes 2023 natures'!F3</f>
        <v>0</v>
      </c>
      <c r="G145" s="13">
        <f>'4.1 Comptes 2023 natures'!G145/'4.1 Comptes 2023 natures'!G3</f>
        <v>3.9073886639676112</v>
      </c>
      <c r="H145" s="13">
        <f>'4.1 Comptes 2023 natures'!H145/'4.1 Comptes 2023 natures'!H3</f>
        <v>0</v>
      </c>
      <c r="I145" s="13">
        <f>'4.1 Comptes 2023 natures'!I145/'4.1 Comptes 2023 natures'!I3</f>
        <v>0</v>
      </c>
      <c r="J145" s="13">
        <f>'4.1 Comptes 2023 natures'!J145/'4.1 Comptes 2023 natures'!J3</f>
        <v>0</v>
      </c>
      <c r="K145" s="13">
        <f>'4.1 Comptes 2023 natures'!K145/'4.1 Comptes 2023 natures'!K3</f>
        <v>5.5264317180616738</v>
      </c>
      <c r="L145" s="13">
        <f>'4.1 Comptes 2023 natures'!L145/'4.1 Comptes 2023 natures'!L3</f>
        <v>1.8332522175994976</v>
      </c>
      <c r="M145" s="13">
        <f>'4.1 Comptes 2023 natures'!M145/'4.1 Comptes 2023 natures'!M3</f>
        <v>0</v>
      </c>
      <c r="N145" s="13">
        <f>'4.1 Comptes 2023 natures'!N145/'4.1 Comptes 2023 natures'!N3</f>
        <v>0</v>
      </c>
      <c r="O145" s="13">
        <f>'4.1 Comptes 2023 natures'!O145/'4.1 Comptes 2023 natures'!O3</f>
        <v>0</v>
      </c>
      <c r="P145" s="13">
        <f>'4.1 Comptes 2023 natures'!P145/'4.1 Comptes 2023 natures'!P3</f>
        <v>0</v>
      </c>
      <c r="Q145" s="13">
        <f>'4.1 Comptes 2023 natures'!Q145/'4.1 Comptes 2023 natures'!Q3</f>
        <v>0</v>
      </c>
      <c r="R145" s="13">
        <f>'4.1 Comptes 2023 natures'!R145/'4.1 Comptes 2023 natures'!R3</f>
        <v>0</v>
      </c>
      <c r="S145" s="13">
        <f>'4.1 Comptes 2023 natures'!S145/'4.1 Comptes 2023 natures'!S3</f>
        <v>0</v>
      </c>
      <c r="T145" s="13">
        <f>'4.1 Comptes 2023 natures'!T145/'4.1 Comptes 2023 natures'!T3</f>
        <v>0</v>
      </c>
      <c r="U145" s="13">
        <f>'4.1 Comptes 2023 natures'!U145/'4.1 Comptes 2023 natures'!U3</f>
        <v>0</v>
      </c>
      <c r="V145" s="13">
        <f>'4.1 Comptes 2023 natures'!V145/'4.1 Comptes 2023 natures'!V3</f>
        <v>0</v>
      </c>
      <c r="W145" s="13">
        <f>'4.1 Comptes 2023 natures'!W145/'4.1 Comptes 2023 natures'!W3</f>
        <v>4.588559192413582</v>
      </c>
      <c r="X145" s="13">
        <f>'4.1 Comptes 2023 natures'!X145/'4.1 Comptes 2023 natures'!X3</f>
        <v>0</v>
      </c>
      <c r="Y145" s="13">
        <f>'4.1 Comptes 2023 natures'!Y145/'4.1 Comptes 2023 natures'!Y3</f>
        <v>0</v>
      </c>
      <c r="Z145" s="13">
        <f>'4.1 Comptes 2023 natures'!Z145/'4.1 Comptes 2023 natures'!Z3</f>
        <v>0</v>
      </c>
      <c r="AA145" s="13">
        <f>'4.1 Comptes 2023 natures'!AA145/'4.1 Comptes 2023 natures'!AA3</f>
        <v>0</v>
      </c>
      <c r="AB145" s="13">
        <f>'4.1 Comptes 2023 natures'!AB145/'4.1 Comptes 2023 natures'!AB3</f>
        <v>0</v>
      </c>
      <c r="AC145" s="13">
        <f>'4.1 Comptes 2023 natures'!AC145/'4.1 Comptes 2023 natures'!AC3</f>
        <v>0</v>
      </c>
      <c r="AD145" s="13">
        <f>'4.1 Comptes 2023 natures'!AD145/'4.1 Comptes 2023 natures'!AD3</f>
        <v>0</v>
      </c>
      <c r="AE145" s="13">
        <f>'4.1 Comptes 2023 natures'!AE145/'4.1 Comptes 2023 natures'!AE3</f>
        <v>0</v>
      </c>
      <c r="AF145" s="13">
        <f>'4.1 Comptes 2023 natures'!AF145/'4.1 Comptes 2023 natures'!AF3</f>
        <v>0</v>
      </c>
      <c r="AG145" s="13">
        <f>'4.1 Comptes 2023 natures'!AG145/'4.1 Comptes 2023 natures'!AG3</f>
        <v>0</v>
      </c>
      <c r="AH145" s="13">
        <f>'4.1 Comptes 2023 natures'!AH145/'4.1 Comptes 2023 natures'!AH3</f>
        <v>0</v>
      </c>
      <c r="AI145" s="13">
        <f>'4.1 Comptes 2023 natures'!AI145/'4.1 Comptes 2023 natures'!AI3</f>
        <v>0</v>
      </c>
      <c r="AJ145" s="13">
        <f>'4.1 Comptes 2023 natures'!AJ145/'4.1 Comptes 2023 natures'!AJ3</f>
        <v>0</v>
      </c>
      <c r="AK145" s="13">
        <f>'4.1 Comptes 2023 natures'!AK145/'4.1 Comptes 2023 natures'!AK3</f>
        <v>0</v>
      </c>
      <c r="AL145" s="13">
        <f>'4.1 Comptes 2023 natures'!AL145/'4.1 Comptes 2023 natures'!AL3</f>
        <v>0</v>
      </c>
      <c r="AM145" s="13">
        <f>'4.1 Comptes 2023 natures'!AM145/'4.1 Comptes 2023 natures'!AM3</f>
        <v>0</v>
      </c>
      <c r="AN145" s="13">
        <f>'4.1 Comptes 2023 natures'!AN145/'4.1 Comptes 2023 natures'!AN3</f>
        <v>0</v>
      </c>
      <c r="AO145" s="13">
        <f>'4.1 Comptes 2023 natures'!AO145/'4.1 Comptes 2023 natures'!AO3</f>
        <v>0</v>
      </c>
      <c r="AP145" s="13">
        <f>'4.1 Comptes 2023 natures'!AP145/'4.1 Comptes 2023 natures'!AP3</f>
        <v>0</v>
      </c>
      <c r="AQ145" s="13">
        <f>'4.1 Comptes 2023 natures'!AQ145/'4.1 Comptes 2023 natures'!AQ3</f>
        <v>0</v>
      </c>
      <c r="AR145" s="13">
        <f>'4.1 Comptes 2023 natures'!AR145/'4.1 Comptes 2023 natures'!AR3</f>
        <v>1.3869625520110958</v>
      </c>
      <c r="AS145" s="13">
        <f>'4.1 Comptes 2023 natures'!AS145/'4.1 Comptes 2023 natures'!AS3</f>
        <v>0</v>
      </c>
      <c r="AT145" s="13">
        <f>'4.1 Comptes 2023 natures'!AT145/'4.1 Comptes 2023 natures'!AT3</f>
        <v>0</v>
      </c>
      <c r="AU145" s="13">
        <f>'4.1 Comptes 2023 natures'!AU145/'4.1 Comptes 2023 natures'!AU3</f>
        <v>0</v>
      </c>
      <c r="AV145" s="13">
        <f>'4.1 Comptes 2023 natures'!AV145/'4.1 Comptes 2023 natures'!AV3</f>
        <v>0</v>
      </c>
      <c r="AW145" s="13">
        <f>'4.1 Comptes 2023 natures'!AW145/'4.1 Comptes 2023 natures'!AW3</f>
        <v>0</v>
      </c>
      <c r="AX145" s="13">
        <f>'4.1 Comptes 2023 natures'!AX145/'4.1 Comptes 2023 natures'!AX3</f>
        <v>0</v>
      </c>
      <c r="AY145" s="13">
        <f>'4.1 Comptes 2023 natures'!AY145/'4.1 Comptes 2023 natures'!AY3</f>
        <v>0</v>
      </c>
      <c r="AZ145" s="13">
        <f>'4.1 Comptes 2023 natures'!AZ145/'4.1 Comptes 2023 natures'!AZ3</f>
        <v>0</v>
      </c>
      <c r="BA145" s="13">
        <f>'4.1 Comptes 2023 natures'!BA145/'4.1 Comptes 2023 natures'!BA3</f>
        <v>0</v>
      </c>
      <c r="BB145" s="13">
        <f>'4.1 Comptes 2023 natures'!BB145/'4.1 Comptes 2023 natures'!BB3</f>
        <v>0</v>
      </c>
      <c r="BC145" s="13">
        <f>'4.1 Comptes 2023 natures'!BC145/'4.1 Comptes 2023 natures'!BC3</f>
        <v>0</v>
      </c>
      <c r="BD145" s="13">
        <f>'4.1 Comptes 2023 natures'!BD145/'4.1 Comptes 2023 natures'!BD3</f>
        <v>0.75572852390406187</v>
      </c>
      <c r="BE145" s="13">
        <f>'4.1 Comptes 2023 natures'!BE145/'4.1 Comptes 2023 natures'!BE3</f>
        <v>1.3953113968734241</v>
      </c>
      <c r="BF145" s="13">
        <f>'4.1 Comptes 2023 natures'!BF145/'4.1 Comptes 2023 natures'!BF3</f>
        <v>0</v>
      </c>
      <c r="BG145" s="13">
        <f>'4.1 Comptes 2023 natures'!BG145/'4.1 Comptes 2023 natures'!BG3</f>
        <v>4.1055959272488403E-2</v>
      </c>
    </row>
    <row r="146" spans="1:59" x14ac:dyDescent="0.2">
      <c r="C146" s="8">
        <v>494</v>
      </c>
      <c r="D146" s="8" t="s">
        <v>129</v>
      </c>
      <c r="E146" s="13">
        <f>'4.1 Comptes 2023 natures'!E146/'4.1 Comptes 2023 natures'!E3</f>
        <v>0</v>
      </c>
      <c r="F146" s="13">
        <f>'4.1 Comptes 2023 natures'!F146/'4.1 Comptes 2023 natures'!F3</f>
        <v>84.149080459770119</v>
      </c>
      <c r="G146" s="13">
        <f>'4.1 Comptes 2023 natures'!G146/'4.1 Comptes 2023 natures'!G3</f>
        <v>0</v>
      </c>
      <c r="H146" s="13">
        <f>'4.1 Comptes 2023 natures'!H146/'4.1 Comptes 2023 natures'!H3</f>
        <v>0</v>
      </c>
      <c r="I146" s="13">
        <f>'4.1 Comptes 2023 natures'!I146/'4.1 Comptes 2023 natures'!I3</f>
        <v>0</v>
      </c>
      <c r="J146" s="13">
        <f>'4.1 Comptes 2023 natures'!J146/'4.1 Comptes 2023 natures'!J3</f>
        <v>0</v>
      </c>
      <c r="K146" s="13">
        <f>'4.1 Comptes 2023 natures'!K146/'4.1 Comptes 2023 natures'!K3</f>
        <v>28.323091042584437</v>
      </c>
      <c r="L146" s="13">
        <f>'4.1 Comptes 2023 natures'!L146/'4.1 Comptes 2023 natures'!L3</f>
        <v>64.446345867022529</v>
      </c>
      <c r="M146" s="13">
        <f>'4.1 Comptes 2023 natures'!M146/'4.1 Comptes 2023 natures'!M3</f>
        <v>22.767062682215744</v>
      </c>
      <c r="N146" s="13">
        <f>'4.1 Comptes 2023 natures'!N146/'4.1 Comptes 2023 natures'!N3</f>
        <v>0</v>
      </c>
      <c r="O146" s="13">
        <f>'4.1 Comptes 2023 natures'!O146/'4.1 Comptes 2023 natures'!O3</f>
        <v>0</v>
      </c>
      <c r="P146" s="13">
        <f>'4.1 Comptes 2023 natures'!P146/'4.1 Comptes 2023 natures'!P3</f>
        <v>0</v>
      </c>
      <c r="Q146" s="13">
        <f>'4.1 Comptes 2023 natures'!Q146/'4.1 Comptes 2023 natures'!Q3</f>
        <v>0</v>
      </c>
      <c r="R146" s="13">
        <f>'4.1 Comptes 2023 natures'!R146/'4.1 Comptes 2023 natures'!R3</f>
        <v>0</v>
      </c>
      <c r="S146" s="13">
        <f>'4.1 Comptes 2023 natures'!S146/'4.1 Comptes 2023 natures'!S3</f>
        <v>0</v>
      </c>
      <c r="T146" s="13">
        <f>'4.1 Comptes 2023 natures'!T146/'4.1 Comptes 2023 natures'!T3</f>
        <v>0</v>
      </c>
      <c r="U146" s="13">
        <f>'4.1 Comptes 2023 natures'!U146/'4.1 Comptes 2023 natures'!U3</f>
        <v>0</v>
      </c>
      <c r="V146" s="13">
        <f>'4.1 Comptes 2023 natures'!V146/'4.1 Comptes 2023 natures'!V3</f>
        <v>0</v>
      </c>
      <c r="W146" s="13">
        <f>'4.1 Comptes 2023 natures'!W146/'4.1 Comptes 2023 natures'!W3</f>
        <v>0</v>
      </c>
      <c r="X146" s="13">
        <f>'4.1 Comptes 2023 natures'!X146/'4.1 Comptes 2023 natures'!X3</f>
        <v>0</v>
      </c>
      <c r="Y146" s="13">
        <f>'4.1 Comptes 2023 natures'!Y146/'4.1 Comptes 2023 natures'!Y3</f>
        <v>0</v>
      </c>
      <c r="Z146" s="13">
        <f>'4.1 Comptes 2023 natures'!Z146/'4.1 Comptes 2023 natures'!Z3</f>
        <v>0</v>
      </c>
      <c r="AA146" s="13">
        <f>'4.1 Comptes 2023 natures'!AA146/'4.1 Comptes 2023 natures'!AA3</f>
        <v>0</v>
      </c>
      <c r="AB146" s="13">
        <f>'4.1 Comptes 2023 natures'!AB146/'4.1 Comptes 2023 natures'!AB3</f>
        <v>0</v>
      </c>
      <c r="AC146" s="13">
        <f>'4.1 Comptes 2023 natures'!AC146/'4.1 Comptes 2023 natures'!AC3</f>
        <v>0</v>
      </c>
      <c r="AD146" s="13">
        <f>'4.1 Comptes 2023 natures'!AD146/'4.1 Comptes 2023 natures'!AD3</f>
        <v>0</v>
      </c>
      <c r="AE146" s="13">
        <f>'4.1 Comptes 2023 natures'!AE146/'4.1 Comptes 2023 natures'!AE3</f>
        <v>0</v>
      </c>
      <c r="AF146" s="13">
        <f>'4.1 Comptes 2023 natures'!AF146/'4.1 Comptes 2023 natures'!AF3</f>
        <v>0</v>
      </c>
      <c r="AG146" s="13">
        <f>'4.1 Comptes 2023 natures'!AG146/'4.1 Comptes 2023 natures'!AG3</f>
        <v>0</v>
      </c>
      <c r="AH146" s="13">
        <f>'4.1 Comptes 2023 natures'!AH146/'4.1 Comptes 2023 natures'!AH3</f>
        <v>0</v>
      </c>
      <c r="AI146" s="13">
        <f>'4.1 Comptes 2023 natures'!AI146/'4.1 Comptes 2023 natures'!AI3</f>
        <v>0</v>
      </c>
      <c r="AJ146" s="13">
        <f>'4.1 Comptes 2023 natures'!AJ146/'4.1 Comptes 2023 natures'!AJ3</f>
        <v>0</v>
      </c>
      <c r="AK146" s="13">
        <f>'4.1 Comptes 2023 natures'!AK146/'4.1 Comptes 2023 natures'!AK3</f>
        <v>49.600396825396821</v>
      </c>
      <c r="AL146" s="13">
        <f>'4.1 Comptes 2023 natures'!AL146/'4.1 Comptes 2023 natures'!AL3</f>
        <v>0</v>
      </c>
      <c r="AM146" s="13">
        <f>'4.1 Comptes 2023 natures'!AM146/'4.1 Comptes 2023 natures'!AM3</f>
        <v>0</v>
      </c>
      <c r="AN146" s="13">
        <f>'4.1 Comptes 2023 natures'!AN146/'4.1 Comptes 2023 natures'!AN3</f>
        <v>0</v>
      </c>
      <c r="AO146" s="13">
        <f>'4.1 Comptes 2023 natures'!AO146/'4.1 Comptes 2023 natures'!AO3</f>
        <v>52.07351145038168</v>
      </c>
      <c r="AP146" s="13">
        <f>'4.1 Comptes 2023 natures'!AP146/'4.1 Comptes 2023 natures'!AP3</f>
        <v>0</v>
      </c>
      <c r="AQ146" s="13">
        <f>'4.1 Comptes 2023 natures'!AQ146/'4.1 Comptes 2023 natures'!AQ3</f>
        <v>0</v>
      </c>
      <c r="AR146" s="13">
        <f>'4.1 Comptes 2023 natures'!AR146/'4.1 Comptes 2023 natures'!AR3</f>
        <v>69.230748959778083</v>
      </c>
      <c r="AS146" s="13">
        <f>'4.1 Comptes 2023 natures'!AS146/'4.1 Comptes 2023 natures'!AS3</f>
        <v>0</v>
      </c>
      <c r="AT146" s="13">
        <f>'4.1 Comptes 2023 natures'!AT146/'4.1 Comptes 2023 natures'!AT3</f>
        <v>0</v>
      </c>
      <c r="AU146" s="13">
        <f>'4.1 Comptes 2023 natures'!AU146/'4.1 Comptes 2023 natures'!AU3</f>
        <v>0</v>
      </c>
      <c r="AV146" s="13">
        <f>'4.1 Comptes 2023 natures'!AV146/'4.1 Comptes 2023 natures'!AV3</f>
        <v>0</v>
      </c>
      <c r="AW146" s="13">
        <f>'4.1 Comptes 2023 natures'!AW146/'4.1 Comptes 2023 natures'!AW3</f>
        <v>20.715289256198346</v>
      </c>
      <c r="AX146" s="13">
        <f>'4.1 Comptes 2023 natures'!AX146/'4.1 Comptes 2023 natures'!AX3</f>
        <v>0</v>
      </c>
      <c r="AY146" s="13">
        <f>'4.1 Comptes 2023 natures'!AY146/'4.1 Comptes 2023 natures'!AY3</f>
        <v>0</v>
      </c>
      <c r="AZ146" s="13">
        <f>'4.1 Comptes 2023 natures'!AZ146/'4.1 Comptes 2023 natures'!AZ3</f>
        <v>0</v>
      </c>
      <c r="BA146" s="13">
        <f>'4.1 Comptes 2023 natures'!BA146/'4.1 Comptes 2023 natures'!BA3</f>
        <v>0</v>
      </c>
      <c r="BB146" s="13">
        <f>'4.1 Comptes 2023 natures'!BB146/'4.1 Comptes 2023 natures'!BB3</f>
        <v>0</v>
      </c>
      <c r="BC146" s="13">
        <f>'4.1 Comptes 2023 natures'!BC146/'4.1 Comptes 2023 natures'!BC3</f>
        <v>0</v>
      </c>
      <c r="BD146" s="13">
        <f>'4.1 Comptes 2023 natures'!BD146/'4.1 Comptes 2023 natures'!BD3</f>
        <v>14.743835381230884</v>
      </c>
      <c r="BE146" s="13">
        <f>'4.1 Comptes 2023 natures'!BE146/'4.1 Comptes 2023 natures'!BE3</f>
        <v>23.987226928895613</v>
      </c>
      <c r="BF146" s="13">
        <f>'4.1 Comptes 2023 natures'!BF146/'4.1 Comptes 2023 natures'!BF3</f>
        <v>0</v>
      </c>
      <c r="BG146" s="13">
        <f>'4.1 Comptes 2023 natures'!BG146/'4.1 Comptes 2023 natures'!BG3</f>
        <v>6.0676610420002461</v>
      </c>
    </row>
    <row r="147" spans="1:59" x14ac:dyDescent="0.2">
      <c r="C147" s="8">
        <v>495</v>
      </c>
      <c r="D147" s="8" t="s">
        <v>187</v>
      </c>
      <c r="E147" s="13">
        <f>'4.1 Comptes 2023 natures'!E147/'4.1 Comptes 2023 natures'!E3</f>
        <v>0</v>
      </c>
      <c r="F147" s="13">
        <f>'4.1 Comptes 2023 natures'!F147/'4.1 Comptes 2023 natures'!F3</f>
        <v>0</v>
      </c>
      <c r="G147" s="13">
        <f>'4.1 Comptes 2023 natures'!G147/'4.1 Comptes 2023 natures'!G3</f>
        <v>0</v>
      </c>
      <c r="H147" s="13">
        <f>'4.1 Comptes 2023 natures'!H147/'4.1 Comptes 2023 natures'!H3</f>
        <v>0.8</v>
      </c>
      <c r="I147" s="13">
        <f>'4.1 Comptes 2023 natures'!I147/'4.1 Comptes 2023 natures'!I3</f>
        <v>0</v>
      </c>
      <c r="J147" s="13">
        <f>'4.1 Comptes 2023 natures'!J147/'4.1 Comptes 2023 natures'!J3</f>
        <v>0</v>
      </c>
      <c r="K147" s="13">
        <f>'4.1 Comptes 2023 natures'!K147/'4.1 Comptes 2023 natures'!K3</f>
        <v>0</v>
      </c>
      <c r="L147" s="13">
        <f>'4.1 Comptes 2023 natures'!L147/'4.1 Comptes 2023 natures'!L3</f>
        <v>0</v>
      </c>
      <c r="M147" s="13">
        <f>'4.1 Comptes 2023 natures'!M147/'4.1 Comptes 2023 natures'!M3</f>
        <v>0</v>
      </c>
      <c r="N147" s="13">
        <f>'4.1 Comptes 2023 natures'!N147/'4.1 Comptes 2023 natures'!N3</f>
        <v>0</v>
      </c>
      <c r="O147" s="13">
        <f>'4.1 Comptes 2023 natures'!O147/'4.1 Comptes 2023 natures'!O3</f>
        <v>0</v>
      </c>
      <c r="P147" s="13">
        <f>'4.1 Comptes 2023 natures'!P147/'4.1 Comptes 2023 natures'!P3</f>
        <v>0</v>
      </c>
      <c r="Q147" s="13">
        <f>'4.1 Comptes 2023 natures'!Q147/'4.1 Comptes 2023 natures'!Q3</f>
        <v>0</v>
      </c>
      <c r="R147" s="13">
        <f>'4.1 Comptes 2023 natures'!R147/'4.1 Comptes 2023 natures'!R3</f>
        <v>0</v>
      </c>
      <c r="S147" s="13">
        <f>'4.1 Comptes 2023 natures'!S147/'4.1 Comptes 2023 natures'!S3</f>
        <v>0</v>
      </c>
      <c r="T147" s="13">
        <f>'4.1 Comptes 2023 natures'!T147/'4.1 Comptes 2023 natures'!T3</f>
        <v>0</v>
      </c>
      <c r="U147" s="13">
        <f>'4.1 Comptes 2023 natures'!U147/'4.1 Comptes 2023 natures'!U3</f>
        <v>0</v>
      </c>
      <c r="V147" s="13">
        <f>'4.1 Comptes 2023 natures'!V147/'4.1 Comptes 2023 natures'!V3</f>
        <v>0</v>
      </c>
      <c r="W147" s="13">
        <f>'4.1 Comptes 2023 natures'!W147/'4.1 Comptes 2023 natures'!W3</f>
        <v>0</v>
      </c>
      <c r="X147" s="13">
        <f>'4.1 Comptes 2023 natures'!X147/'4.1 Comptes 2023 natures'!X3</f>
        <v>0</v>
      </c>
      <c r="Y147" s="13">
        <f>'4.1 Comptes 2023 natures'!Y147/'4.1 Comptes 2023 natures'!Y3</f>
        <v>0</v>
      </c>
      <c r="Z147" s="13">
        <f>'4.1 Comptes 2023 natures'!Z147/'4.1 Comptes 2023 natures'!Z3</f>
        <v>0</v>
      </c>
      <c r="AA147" s="13">
        <f>'4.1 Comptes 2023 natures'!AA147/'4.1 Comptes 2023 natures'!AA3</f>
        <v>0</v>
      </c>
      <c r="AB147" s="13">
        <f>'4.1 Comptes 2023 natures'!AB147/'4.1 Comptes 2023 natures'!AB3</f>
        <v>0</v>
      </c>
      <c r="AC147" s="13">
        <f>'4.1 Comptes 2023 natures'!AC147/'4.1 Comptes 2023 natures'!AC3</f>
        <v>0</v>
      </c>
      <c r="AD147" s="13">
        <f>'4.1 Comptes 2023 natures'!AD147/'4.1 Comptes 2023 natures'!AD3</f>
        <v>0</v>
      </c>
      <c r="AE147" s="13">
        <f>'4.1 Comptes 2023 natures'!AE147/'4.1 Comptes 2023 natures'!AE3</f>
        <v>0</v>
      </c>
      <c r="AF147" s="13">
        <f>'4.1 Comptes 2023 natures'!AF147/'4.1 Comptes 2023 natures'!AF3</f>
        <v>0</v>
      </c>
      <c r="AG147" s="13">
        <f>'4.1 Comptes 2023 natures'!AG147/'4.1 Comptes 2023 natures'!AG3</f>
        <v>0</v>
      </c>
      <c r="AH147" s="13">
        <f>'4.1 Comptes 2023 natures'!AH147/'4.1 Comptes 2023 natures'!AH3</f>
        <v>0</v>
      </c>
      <c r="AI147" s="13">
        <f>'4.1 Comptes 2023 natures'!AI147/'4.1 Comptes 2023 natures'!AI3</f>
        <v>0</v>
      </c>
      <c r="AJ147" s="13">
        <f>'4.1 Comptes 2023 natures'!AJ147/'4.1 Comptes 2023 natures'!AJ3</f>
        <v>0</v>
      </c>
      <c r="AK147" s="13">
        <f>'4.1 Comptes 2023 natures'!AK147/'4.1 Comptes 2023 natures'!AK3</f>
        <v>0</v>
      </c>
      <c r="AL147" s="13">
        <f>'4.1 Comptes 2023 natures'!AL147/'4.1 Comptes 2023 natures'!AL3</f>
        <v>0</v>
      </c>
      <c r="AM147" s="13">
        <f>'4.1 Comptes 2023 natures'!AM147/'4.1 Comptes 2023 natures'!AM3</f>
        <v>0</v>
      </c>
      <c r="AN147" s="13">
        <f>'4.1 Comptes 2023 natures'!AN147/'4.1 Comptes 2023 natures'!AN3</f>
        <v>0</v>
      </c>
      <c r="AO147" s="13">
        <f>'4.1 Comptes 2023 natures'!AO147/'4.1 Comptes 2023 natures'!AO3</f>
        <v>0</v>
      </c>
      <c r="AP147" s="13">
        <f>'4.1 Comptes 2023 natures'!AP147/'4.1 Comptes 2023 natures'!AP3</f>
        <v>0</v>
      </c>
      <c r="AQ147" s="13">
        <f>'4.1 Comptes 2023 natures'!AQ147/'4.1 Comptes 2023 natures'!AQ3</f>
        <v>0</v>
      </c>
      <c r="AR147" s="13">
        <f>'4.1 Comptes 2023 natures'!AR147/'4.1 Comptes 2023 natures'!AR3</f>
        <v>0</v>
      </c>
      <c r="AS147" s="13">
        <f>'4.1 Comptes 2023 natures'!AS147/'4.1 Comptes 2023 natures'!AS3</f>
        <v>0</v>
      </c>
      <c r="AT147" s="13">
        <f>'4.1 Comptes 2023 natures'!AT147/'4.1 Comptes 2023 natures'!AT3</f>
        <v>0</v>
      </c>
      <c r="AU147" s="13">
        <f>'4.1 Comptes 2023 natures'!AU147/'4.1 Comptes 2023 natures'!AU3</f>
        <v>0</v>
      </c>
      <c r="AV147" s="13">
        <f>'4.1 Comptes 2023 natures'!AV147/'4.1 Comptes 2023 natures'!AV3</f>
        <v>0</v>
      </c>
      <c r="AW147" s="13">
        <f>'4.1 Comptes 2023 natures'!AW147/'4.1 Comptes 2023 natures'!AW3</f>
        <v>0</v>
      </c>
      <c r="AX147" s="13">
        <f>'4.1 Comptes 2023 natures'!AX147/'4.1 Comptes 2023 natures'!AX3</f>
        <v>0</v>
      </c>
      <c r="AY147" s="13">
        <f>'4.1 Comptes 2023 natures'!AY147/'4.1 Comptes 2023 natures'!AY3</f>
        <v>0</v>
      </c>
      <c r="AZ147" s="13">
        <f>'4.1 Comptes 2023 natures'!AZ147/'4.1 Comptes 2023 natures'!AZ3</f>
        <v>0</v>
      </c>
      <c r="BA147" s="13">
        <f>'4.1 Comptes 2023 natures'!BA147/'4.1 Comptes 2023 natures'!BA3</f>
        <v>0</v>
      </c>
      <c r="BB147" s="13">
        <f>'4.1 Comptes 2023 natures'!BB147/'4.1 Comptes 2023 natures'!BB3</f>
        <v>0</v>
      </c>
      <c r="BC147" s="13">
        <f>'4.1 Comptes 2023 natures'!BC147/'4.1 Comptes 2023 natures'!BC3</f>
        <v>0</v>
      </c>
      <c r="BD147" s="13">
        <f>'4.1 Comptes 2023 natures'!BD147/'4.1 Comptes 2023 natures'!BD3</f>
        <v>4.7754466920641734E-3</v>
      </c>
      <c r="BE147" s="13">
        <f>'4.1 Comptes 2023 natures'!BE147/'4.1 Comptes 2023 natures'!BE3</f>
        <v>8.9762985375693386E-3</v>
      </c>
      <c r="BF147" s="13">
        <f>'4.1 Comptes 2023 natures'!BF147/'4.1 Comptes 2023 natures'!BF3</f>
        <v>0</v>
      </c>
      <c r="BG147" s="13">
        <f>'4.1 Comptes 2023 natures'!BG147/'4.1 Comptes 2023 natures'!BG3</f>
        <v>0</v>
      </c>
    </row>
    <row r="148" spans="1:59" x14ac:dyDescent="0.2">
      <c r="C148" s="8">
        <v>498</v>
      </c>
      <c r="D148" s="8" t="s">
        <v>188</v>
      </c>
      <c r="E148" s="13">
        <f>'4.1 Comptes 2023 natures'!E148/'4.1 Comptes 2023 natures'!E3</f>
        <v>0</v>
      </c>
      <c r="F148" s="13">
        <f>'4.1 Comptes 2023 natures'!F148/'4.1 Comptes 2023 natures'!F3</f>
        <v>0</v>
      </c>
      <c r="G148" s="13">
        <f>'4.1 Comptes 2023 natures'!G148/'4.1 Comptes 2023 natures'!G3</f>
        <v>0</v>
      </c>
      <c r="H148" s="13">
        <f>'4.1 Comptes 2023 natures'!H148/'4.1 Comptes 2023 natures'!H3</f>
        <v>0</v>
      </c>
      <c r="I148" s="13">
        <f>'4.1 Comptes 2023 natures'!I148/'4.1 Comptes 2023 natures'!I3</f>
        <v>0</v>
      </c>
      <c r="J148" s="13">
        <f>'4.1 Comptes 2023 natures'!J148/'4.1 Comptes 2023 natures'!J3</f>
        <v>0</v>
      </c>
      <c r="K148" s="13">
        <f>'4.1 Comptes 2023 natures'!K148/'4.1 Comptes 2023 natures'!K3</f>
        <v>0</v>
      </c>
      <c r="L148" s="13">
        <f>'4.1 Comptes 2023 natures'!L148/'4.1 Comptes 2023 natures'!L3</f>
        <v>189.73663788366432</v>
      </c>
      <c r="M148" s="13">
        <f>'4.1 Comptes 2023 natures'!M148/'4.1 Comptes 2023 natures'!M3</f>
        <v>0</v>
      </c>
      <c r="N148" s="13">
        <f>'4.1 Comptes 2023 natures'!N148/'4.1 Comptes 2023 natures'!N3</f>
        <v>0</v>
      </c>
      <c r="O148" s="13">
        <f>'4.1 Comptes 2023 natures'!O148/'4.1 Comptes 2023 natures'!O3</f>
        <v>0</v>
      </c>
      <c r="P148" s="13">
        <f>'4.1 Comptes 2023 natures'!P148/'4.1 Comptes 2023 natures'!P3</f>
        <v>0</v>
      </c>
      <c r="Q148" s="13">
        <f>'4.1 Comptes 2023 natures'!Q148/'4.1 Comptes 2023 natures'!Q3</f>
        <v>0</v>
      </c>
      <c r="R148" s="13">
        <f>'4.1 Comptes 2023 natures'!R148/'4.1 Comptes 2023 natures'!R3</f>
        <v>0</v>
      </c>
      <c r="S148" s="13">
        <f>'4.1 Comptes 2023 natures'!S148/'4.1 Comptes 2023 natures'!S3</f>
        <v>0</v>
      </c>
      <c r="T148" s="13">
        <f>'4.1 Comptes 2023 natures'!T148/'4.1 Comptes 2023 natures'!T3</f>
        <v>0</v>
      </c>
      <c r="U148" s="13">
        <f>'4.1 Comptes 2023 natures'!U148/'4.1 Comptes 2023 natures'!U3</f>
        <v>0</v>
      </c>
      <c r="V148" s="13">
        <f>'4.1 Comptes 2023 natures'!V148/'4.1 Comptes 2023 natures'!V3</f>
        <v>0</v>
      </c>
      <c r="W148" s="13">
        <f>'4.1 Comptes 2023 natures'!W148/'4.1 Comptes 2023 natures'!W3</f>
        <v>0</v>
      </c>
      <c r="X148" s="13">
        <f>'4.1 Comptes 2023 natures'!X148/'4.1 Comptes 2023 natures'!X3</f>
        <v>0</v>
      </c>
      <c r="Y148" s="13">
        <f>'4.1 Comptes 2023 natures'!Y148/'4.1 Comptes 2023 natures'!Y3</f>
        <v>0</v>
      </c>
      <c r="Z148" s="13">
        <f>'4.1 Comptes 2023 natures'!Z148/'4.1 Comptes 2023 natures'!Z3</f>
        <v>0</v>
      </c>
      <c r="AA148" s="13">
        <f>'4.1 Comptes 2023 natures'!AA148/'4.1 Comptes 2023 natures'!AA3</f>
        <v>0</v>
      </c>
      <c r="AB148" s="13">
        <f>'4.1 Comptes 2023 natures'!AB148/'4.1 Comptes 2023 natures'!AB3</f>
        <v>0</v>
      </c>
      <c r="AC148" s="13">
        <f>'4.1 Comptes 2023 natures'!AC148/'4.1 Comptes 2023 natures'!AC3</f>
        <v>0</v>
      </c>
      <c r="AD148" s="13">
        <f>'4.1 Comptes 2023 natures'!AD148/'4.1 Comptes 2023 natures'!AD3</f>
        <v>0</v>
      </c>
      <c r="AE148" s="13">
        <f>'4.1 Comptes 2023 natures'!AE148/'4.1 Comptes 2023 natures'!AE3</f>
        <v>0</v>
      </c>
      <c r="AF148" s="13">
        <f>'4.1 Comptes 2023 natures'!AF148/'4.1 Comptes 2023 natures'!AF3</f>
        <v>0</v>
      </c>
      <c r="AG148" s="13">
        <f>'4.1 Comptes 2023 natures'!AG148/'4.1 Comptes 2023 natures'!AG3</f>
        <v>0</v>
      </c>
      <c r="AH148" s="13">
        <f>'4.1 Comptes 2023 natures'!AH148/'4.1 Comptes 2023 natures'!AH3</f>
        <v>0</v>
      </c>
      <c r="AI148" s="13">
        <f>'4.1 Comptes 2023 natures'!AI148/'4.1 Comptes 2023 natures'!AI3</f>
        <v>0</v>
      </c>
      <c r="AJ148" s="13">
        <f>'4.1 Comptes 2023 natures'!AJ148/'4.1 Comptes 2023 natures'!AJ3</f>
        <v>0</v>
      </c>
      <c r="AK148" s="13">
        <f>'4.1 Comptes 2023 natures'!AK148/'4.1 Comptes 2023 natures'!AK3</f>
        <v>0</v>
      </c>
      <c r="AL148" s="13">
        <f>'4.1 Comptes 2023 natures'!AL148/'4.1 Comptes 2023 natures'!AL3</f>
        <v>0</v>
      </c>
      <c r="AM148" s="13">
        <f>'4.1 Comptes 2023 natures'!AM148/'4.1 Comptes 2023 natures'!AM3</f>
        <v>0</v>
      </c>
      <c r="AN148" s="13">
        <f>'4.1 Comptes 2023 natures'!AN148/'4.1 Comptes 2023 natures'!AN3</f>
        <v>0</v>
      </c>
      <c r="AO148" s="13">
        <f>'4.1 Comptes 2023 natures'!AO148/'4.1 Comptes 2023 natures'!AO3</f>
        <v>0</v>
      </c>
      <c r="AP148" s="13">
        <f>'4.1 Comptes 2023 natures'!AP148/'4.1 Comptes 2023 natures'!AP3</f>
        <v>0</v>
      </c>
      <c r="AQ148" s="13">
        <f>'4.1 Comptes 2023 natures'!AQ148/'4.1 Comptes 2023 natures'!AQ3</f>
        <v>0</v>
      </c>
      <c r="AR148" s="13">
        <f>'4.1 Comptes 2023 natures'!AR148/'4.1 Comptes 2023 natures'!AR3</f>
        <v>0</v>
      </c>
      <c r="AS148" s="13">
        <f>'4.1 Comptes 2023 natures'!AS148/'4.1 Comptes 2023 natures'!AS3</f>
        <v>0</v>
      </c>
      <c r="AT148" s="13">
        <f>'4.1 Comptes 2023 natures'!AT148/'4.1 Comptes 2023 natures'!AT3</f>
        <v>0</v>
      </c>
      <c r="AU148" s="13">
        <f>'4.1 Comptes 2023 natures'!AU148/'4.1 Comptes 2023 natures'!AU3</f>
        <v>0</v>
      </c>
      <c r="AV148" s="13">
        <f>'4.1 Comptes 2023 natures'!AV148/'4.1 Comptes 2023 natures'!AV3</f>
        <v>0</v>
      </c>
      <c r="AW148" s="13">
        <f>'4.1 Comptes 2023 natures'!AW148/'4.1 Comptes 2023 natures'!AW3</f>
        <v>0</v>
      </c>
      <c r="AX148" s="13">
        <f>'4.1 Comptes 2023 natures'!AX148/'4.1 Comptes 2023 natures'!AX3</f>
        <v>0</v>
      </c>
      <c r="AY148" s="13">
        <f>'4.1 Comptes 2023 natures'!AY148/'4.1 Comptes 2023 natures'!AY3</f>
        <v>0</v>
      </c>
      <c r="AZ148" s="13">
        <f>'4.1 Comptes 2023 natures'!AZ148/'4.1 Comptes 2023 natures'!AZ3</f>
        <v>0</v>
      </c>
      <c r="BA148" s="13">
        <f>'4.1 Comptes 2023 natures'!BA148/'4.1 Comptes 2023 natures'!BA3</f>
        <v>0</v>
      </c>
      <c r="BB148" s="13">
        <f>'4.1 Comptes 2023 natures'!BB148/'4.1 Comptes 2023 natures'!BB3</f>
        <v>0</v>
      </c>
      <c r="BC148" s="13">
        <f>'4.1 Comptes 2023 natures'!BC148/'4.1 Comptes 2023 natures'!BC3</f>
        <v>0</v>
      </c>
      <c r="BD148" s="13">
        <f>'4.1 Comptes 2023 natures'!BD148/'4.1 Comptes 2023 natures'!BD3</f>
        <v>32.422801818962277</v>
      </c>
      <c r="BE148" s="13">
        <f>'4.1 Comptes 2023 natures'!BE148/'4.1 Comptes 2023 natures'!BE3</f>
        <v>60.944403177004531</v>
      </c>
      <c r="BF148" s="13">
        <f>'4.1 Comptes 2023 natures'!BF148/'4.1 Comptes 2023 natures'!BF3</f>
        <v>0</v>
      </c>
      <c r="BG148" s="13">
        <f>'4.1 Comptes 2023 natures'!BG148/'4.1 Comptes 2023 natures'!BG3</f>
        <v>0</v>
      </c>
    </row>
    <row r="149" spans="1:59" x14ac:dyDescent="0.2">
      <c r="C149" s="8">
        <v>499</v>
      </c>
      <c r="D149" s="8" t="s">
        <v>132</v>
      </c>
      <c r="E149" s="13">
        <f>'4.1 Comptes 2023 natures'!E149/'4.1 Comptes 2023 natures'!E3</f>
        <v>0</v>
      </c>
      <c r="F149" s="13">
        <f>'4.1 Comptes 2023 natures'!F149/'4.1 Comptes 2023 natures'!F3</f>
        <v>0</v>
      </c>
      <c r="G149" s="13">
        <f>'4.1 Comptes 2023 natures'!G149/'4.1 Comptes 2023 natures'!G3</f>
        <v>0</v>
      </c>
      <c r="H149" s="13">
        <f>'4.1 Comptes 2023 natures'!H149/'4.1 Comptes 2023 natures'!H3</f>
        <v>0</v>
      </c>
      <c r="I149" s="13">
        <f>'4.1 Comptes 2023 natures'!I149/'4.1 Comptes 2023 natures'!I3</f>
        <v>0</v>
      </c>
      <c r="J149" s="13">
        <f>'4.1 Comptes 2023 natures'!J149/'4.1 Comptes 2023 natures'!J3</f>
        <v>0</v>
      </c>
      <c r="K149" s="13">
        <f>'4.1 Comptes 2023 natures'!K149/'4.1 Comptes 2023 natures'!K3</f>
        <v>0</v>
      </c>
      <c r="L149" s="13">
        <f>'4.1 Comptes 2023 natures'!L149/'4.1 Comptes 2023 natures'!L3</f>
        <v>0</v>
      </c>
      <c r="M149" s="13">
        <f>'4.1 Comptes 2023 natures'!M149/'4.1 Comptes 2023 natures'!M3</f>
        <v>0</v>
      </c>
      <c r="N149" s="13">
        <f>'4.1 Comptes 2023 natures'!N149/'4.1 Comptes 2023 natures'!N3</f>
        <v>0</v>
      </c>
      <c r="O149" s="13">
        <f>'4.1 Comptes 2023 natures'!O149/'4.1 Comptes 2023 natures'!O3</f>
        <v>0</v>
      </c>
      <c r="P149" s="13">
        <f>'4.1 Comptes 2023 natures'!P149/'4.1 Comptes 2023 natures'!P3</f>
        <v>0</v>
      </c>
      <c r="Q149" s="13">
        <f>'4.1 Comptes 2023 natures'!Q149/'4.1 Comptes 2023 natures'!Q3</f>
        <v>0</v>
      </c>
      <c r="R149" s="13">
        <f>'4.1 Comptes 2023 natures'!R149/'4.1 Comptes 2023 natures'!R3</f>
        <v>0</v>
      </c>
      <c r="S149" s="13">
        <f>'4.1 Comptes 2023 natures'!S149/'4.1 Comptes 2023 natures'!S3</f>
        <v>0</v>
      </c>
      <c r="T149" s="13">
        <f>'4.1 Comptes 2023 natures'!T149/'4.1 Comptes 2023 natures'!T3</f>
        <v>0</v>
      </c>
      <c r="U149" s="13">
        <f>'4.1 Comptes 2023 natures'!U149/'4.1 Comptes 2023 natures'!U3</f>
        <v>0</v>
      </c>
      <c r="V149" s="13">
        <f>'4.1 Comptes 2023 natures'!V149/'4.1 Comptes 2023 natures'!V3</f>
        <v>0</v>
      </c>
      <c r="W149" s="13">
        <f>'4.1 Comptes 2023 natures'!W149/'4.1 Comptes 2023 natures'!W3</f>
        <v>0.91771183848271642</v>
      </c>
      <c r="X149" s="13">
        <f>'4.1 Comptes 2023 natures'!X149/'4.1 Comptes 2023 natures'!X3</f>
        <v>0</v>
      </c>
      <c r="Y149" s="13">
        <f>'4.1 Comptes 2023 natures'!Y149/'4.1 Comptes 2023 natures'!Y3</f>
        <v>0</v>
      </c>
      <c r="Z149" s="13">
        <f>'4.1 Comptes 2023 natures'!Z149/'4.1 Comptes 2023 natures'!Z3</f>
        <v>0</v>
      </c>
      <c r="AA149" s="13">
        <f>'4.1 Comptes 2023 natures'!AA149/'4.1 Comptes 2023 natures'!AA3</f>
        <v>0</v>
      </c>
      <c r="AB149" s="13">
        <f>'4.1 Comptes 2023 natures'!AB149/'4.1 Comptes 2023 natures'!AB3</f>
        <v>0</v>
      </c>
      <c r="AC149" s="13">
        <f>'4.1 Comptes 2023 natures'!AC149/'4.1 Comptes 2023 natures'!AC3</f>
        <v>0</v>
      </c>
      <c r="AD149" s="13">
        <f>'4.1 Comptes 2023 natures'!AD149/'4.1 Comptes 2023 natures'!AD3</f>
        <v>0</v>
      </c>
      <c r="AE149" s="13">
        <f>'4.1 Comptes 2023 natures'!AE149/'4.1 Comptes 2023 natures'!AE3</f>
        <v>0</v>
      </c>
      <c r="AF149" s="13">
        <f>'4.1 Comptes 2023 natures'!AF149/'4.1 Comptes 2023 natures'!AF3</f>
        <v>0</v>
      </c>
      <c r="AG149" s="13">
        <f>'4.1 Comptes 2023 natures'!AG149/'4.1 Comptes 2023 natures'!AG3</f>
        <v>0</v>
      </c>
      <c r="AH149" s="13">
        <f>'4.1 Comptes 2023 natures'!AH149/'4.1 Comptes 2023 natures'!AH3</f>
        <v>0</v>
      </c>
      <c r="AI149" s="13">
        <f>'4.1 Comptes 2023 natures'!AI149/'4.1 Comptes 2023 natures'!AI3</f>
        <v>0</v>
      </c>
      <c r="AJ149" s="13">
        <f>'4.1 Comptes 2023 natures'!AJ149/'4.1 Comptes 2023 natures'!AJ3</f>
        <v>0</v>
      </c>
      <c r="AK149" s="13">
        <f>'4.1 Comptes 2023 natures'!AK149/'4.1 Comptes 2023 natures'!AK3</f>
        <v>0</v>
      </c>
      <c r="AL149" s="13">
        <f>'4.1 Comptes 2023 natures'!AL149/'4.1 Comptes 2023 natures'!AL3</f>
        <v>0</v>
      </c>
      <c r="AM149" s="13">
        <f>'4.1 Comptes 2023 natures'!AM149/'4.1 Comptes 2023 natures'!AM3</f>
        <v>0</v>
      </c>
      <c r="AN149" s="13">
        <f>'4.1 Comptes 2023 natures'!AN149/'4.1 Comptes 2023 natures'!AN3</f>
        <v>0</v>
      </c>
      <c r="AO149" s="13">
        <f>'4.1 Comptes 2023 natures'!AO149/'4.1 Comptes 2023 natures'!AO3</f>
        <v>0</v>
      </c>
      <c r="AP149" s="13">
        <f>'4.1 Comptes 2023 natures'!AP149/'4.1 Comptes 2023 natures'!AP3</f>
        <v>0</v>
      </c>
      <c r="AQ149" s="13">
        <f>'4.1 Comptes 2023 natures'!AQ149/'4.1 Comptes 2023 natures'!AQ3</f>
        <v>0</v>
      </c>
      <c r="AR149" s="13">
        <f>'4.1 Comptes 2023 natures'!AR149/'4.1 Comptes 2023 natures'!AR3</f>
        <v>0</v>
      </c>
      <c r="AS149" s="13">
        <f>'4.1 Comptes 2023 natures'!AS149/'4.1 Comptes 2023 natures'!AS3</f>
        <v>0</v>
      </c>
      <c r="AT149" s="13">
        <f>'4.1 Comptes 2023 natures'!AT149/'4.1 Comptes 2023 natures'!AT3</f>
        <v>0</v>
      </c>
      <c r="AU149" s="13">
        <f>'4.1 Comptes 2023 natures'!AU149/'4.1 Comptes 2023 natures'!AU3</f>
        <v>0</v>
      </c>
      <c r="AV149" s="13">
        <f>'4.1 Comptes 2023 natures'!AV149/'4.1 Comptes 2023 natures'!AV3</f>
        <v>0</v>
      </c>
      <c r="AW149" s="13">
        <f>'4.1 Comptes 2023 natures'!AW149/'4.1 Comptes 2023 natures'!AW3</f>
        <v>0</v>
      </c>
      <c r="AX149" s="13">
        <f>'4.1 Comptes 2023 natures'!AX149/'4.1 Comptes 2023 natures'!AX3</f>
        <v>0</v>
      </c>
      <c r="AY149" s="13">
        <f>'4.1 Comptes 2023 natures'!AY149/'4.1 Comptes 2023 natures'!AY3</f>
        <v>4.6144505160898603</v>
      </c>
      <c r="AZ149" s="13">
        <f>'4.1 Comptes 2023 natures'!AZ149/'4.1 Comptes 2023 natures'!AZ3</f>
        <v>0</v>
      </c>
      <c r="BA149" s="13">
        <f>'4.1 Comptes 2023 natures'!BA149/'4.1 Comptes 2023 natures'!BA3</f>
        <v>0</v>
      </c>
      <c r="BB149" s="13">
        <f>'4.1 Comptes 2023 natures'!BB149/'4.1 Comptes 2023 natures'!BB3</f>
        <v>0</v>
      </c>
      <c r="BC149" s="13">
        <f>'4.1 Comptes 2023 natures'!BC149/'4.1 Comptes 2023 natures'!BC3</f>
        <v>0</v>
      </c>
      <c r="BD149" s="13">
        <f>'4.1 Comptes 2023 natures'!BD149/'4.1 Comptes 2023 natures'!BD3</f>
        <v>0.1421902666738209</v>
      </c>
      <c r="BE149" s="13">
        <f>'4.1 Comptes 2023 natures'!BE149/'4.1 Comptes 2023 natures'!BE3</f>
        <v>7.564296520423601E-2</v>
      </c>
      <c r="BF149" s="13">
        <f>'4.1 Comptes 2023 natures'!BF149/'4.1 Comptes 2023 natures'!BF3</f>
        <v>0</v>
      </c>
      <c r="BG149" s="13">
        <f>'4.1 Comptes 2023 natures'!BG149/'4.1 Comptes 2023 natures'!BG3</f>
        <v>0.31202529047091188</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f>SUM(E152:BC152)</f>
        <v>0</v>
      </c>
      <c r="BE152" s="13">
        <f>SUM(E152:W152)</f>
        <v>0</v>
      </c>
      <c r="BF152" s="13">
        <f>SUM(X152:AI152)</f>
        <v>0</v>
      </c>
      <c r="BG152" s="13">
        <f>SUM(AJ152:BC152)</f>
        <v>0</v>
      </c>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81">
        <f>E155+E156</f>
        <v>309.65676378772116</v>
      </c>
      <c r="F154" s="81">
        <f t="shared" ref="F154:BG154" si="25">F155+F156</f>
        <v>637.68800766283528</v>
      </c>
      <c r="G154" s="81">
        <f t="shared" si="25"/>
        <v>225.5471052631579</v>
      </c>
      <c r="H154" s="81">
        <f t="shared" si="25"/>
        <v>277.24883146067418</v>
      </c>
      <c r="I154" s="81">
        <f t="shared" si="25"/>
        <v>42.988178347422959</v>
      </c>
      <c r="J154" s="81">
        <f t="shared" si="25"/>
        <v>81.562535335689034</v>
      </c>
      <c r="K154" s="81">
        <f t="shared" si="25"/>
        <v>16.279900881057266</v>
      </c>
      <c r="L154" s="81">
        <f t="shared" si="25"/>
        <v>-72.048568176465977</v>
      </c>
      <c r="M154" s="81">
        <f t="shared" si="25"/>
        <v>172.36532798833818</v>
      </c>
      <c r="N154" s="81">
        <f t="shared" si="25"/>
        <v>-88.622905982905991</v>
      </c>
      <c r="O154" s="81">
        <f t="shared" si="25"/>
        <v>-52.512442271121984</v>
      </c>
      <c r="P154" s="81">
        <f t="shared" si="25"/>
        <v>363.88317757009349</v>
      </c>
      <c r="Q154" s="81">
        <f t="shared" si="25"/>
        <v>-141.46839285714285</v>
      </c>
      <c r="R154" s="81">
        <f t="shared" si="25"/>
        <v>6.4664047619047693</v>
      </c>
      <c r="S154" s="81">
        <f t="shared" si="25"/>
        <v>-181.60074498567337</v>
      </c>
      <c r="T154" s="81">
        <f t="shared" si="25"/>
        <v>163.39802182810368</v>
      </c>
      <c r="U154" s="81">
        <f t="shared" si="25"/>
        <v>104.80893772893774</v>
      </c>
      <c r="V154" s="81">
        <f t="shared" si="25"/>
        <v>123.46967517401393</v>
      </c>
      <c r="W154" s="81">
        <f t="shared" si="25"/>
        <v>51.65869379014989</v>
      </c>
      <c r="X154" s="81">
        <f t="shared" si="25"/>
        <v>193.8900655737705</v>
      </c>
      <c r="Y154" s="81">
        <f t="shared" si="25"/>
        <v>868.30082268370609</v>
      </c>
      <c r="Z154" s="81">
        <f t="shared" si="25"/>
        <v>1630.431723507917</v>
      </c>
      <c r="AA154" s="81">
        <f t="shared" si="25"/>
        <v>104.88758389261747</v>
      </c>
      <c r="AB154" s="81">
        <f t="shared" si="25"/>
        <v>-510.5451568627451</v>
      </c>
      <c r="AC154" s="81">
        <f t="shared" si="25"/>
        <v>15.726267605633804</v>
      </c>
      <c r="AD154" s="81">
        <f t="shared" si="25"/>
        <v>-29.237332155477031</v>
      </c>
      <c r="AE154" s="81">
        <f t="shared" si="25"/>
        <v>154.7783464566929</v>
      </c>
      <c r="AF154" s="81">
        <f t="shared" si="25"/>
        <v>888.46472151251919</v>
      </c>
      <c r="AG154" s="81">
        <f t="shared" si="25"/>
        <v>224.76604750778819</v>
      </c>
      <c r="AH154" s="81">
        <f t="shared" si="25"/>
        <v>194.7886610878661</v>
      </c>
      <c r="AI154" s="81">
        <f t="shared" si="25"/>
        <v>840.11631999999997</v>
      </c>
      <c r="AJ154" s="81">
        <f t="shared" si="25"/>
        <v>145.37088096486627</v>
      </c>
      <c r="AK154" s="81">
        <f t="shared" si="25"/>
        <v>16.704805996472661</v>
      </c>
      <c r="AL154" s="81">
        <f t="shared" si="25"/>
        <v>60.846217788861182</v>
      </c>
      <c r="AM154" s="81">
        <f t="shared" si="25"/>
        <v>-243.20964285714291</v>
      </c>
      <c r="AN154" s="81">
        <f t="shared" si="25"/>
        <v>14.338915456874474</v>
      </c>
      <c r="AO154" s="81">
        <f t="shared" si="25"/>
        <v>-713.45752671755724</v>
      </c>
      <c r="AP154" s="81">
        <f t="shared" si="25"/>
        <v>89.280507131537234</v>
      </c>
      <c r="AQ154" s="81">
        <f t="shared" si="25"/>
        <v>87.458083462132919</v>
      </c>
      <c r="AR154" s="81">
        <f t="shared" si="25"/>
        <v>-237.64818307905685</v>
      </c>
      <c r="AS154" s="81">
        <f t="shared" si="25"/>
        <v>49.44671698113207</v>
      </c>
      <c r="AT154" s="81">
        <f t="shared" si="25"/>
        <v>883.11738853503198</v>
      </c>
      <c r="AU154" s="81">
        <f t="shared" si="25"/>
        <v>-65.624745209946994</v>
      </c>
      <c r="AV154" s="81">
        <f t="shared" si="25"/>
        <v>57.681162790697677</v>
      </c>
      <c r="AW154" s="81">
        <f t="shared" si="25"/>
        <v>1198.9468870523415</v>
      </c>
      <c r="AX154" s="81">
        <f t="shared" si="25"/>
        <v>-84.963132530120475</v>
      </c>
      <c r="AY154" s="81">
        <f t="shared" si="25"/>
        <v>47.143472981177901</v>
      </c>
      <c r="AZ154" s="81">
        <f t="shared" si="25"/>
        <v>16.617217847769027</v>
      </c>
      <c r="BA154" s="81">
        <f t="shared" si="25"/>
        <v>53.213708609271521</v>
      </c>
      <c r="BB154" s="81">
        <f t="shared" si="25"/>
        <v>-24.583241933040441</v>
      </c>
      <c r="BC154" s="81">
        <f t="shared" si="25"/>
        <v>198.99866544789762</v>
      </c>
      <c r="BD154" s="81">
        <f t="shared" si="25"/>
        <v>97.983564549015398</v>
      </c>
      <c r="BE154" s="81">
        <f t="shared" si="25"/>
        <v>14.828991174987394</v>
      </c>
      <c r="BF154" s="81">
        <f t="shared" si="25"/>
        <v>581.08504700408321</v>
      </c>
      <c r="BG154" s="81">
        <f t="shared" si="25"/>
        <v>24.508533481134783</v>
      </c>
    </row>
    <row r="155" spans="1:59" x14ac:dyDescent="0.2">
      <c r="C155" s="8">
        <v>900</v>
      </c>
      <c r="D155" s="8" t="s">
        <v>192</v>
      </c>
      <c r="E155" s="13">
        <f>'4.1 Comptes 2023 natures'!E155/'4.1 Comptes 2023 natures'!E3</f>
        <v>24.12057232049948</v>
      </c>
      <c r="F155" s="13">
        <f>'4.1 Comptes 2023 natures'!F155/'4.1 Comptes 2023 natures'!F3</f>
        <v>439.9360153256705</v>
      </c>
      <c r="G155" s="13">
        <f>'4.1 Comptes 2023 natures'!G155/'4.1 Comptes 2023 natures'!G3</f>
        <v>103.36246963562752</v>
      </c>
      <c r="H155" s="13">
        <f>'4.1 Comptes 2023 natures'!H155/'4.1 Comptes 2023 natures'!H3</f>
        <v>-139.98568539325842</v>
      </c>
      <c r="I155" s="13">
        <f>'4.1 Comptes 2023 natures'!I155/'4.1 Comptes 2023 natures'!I3</f>
        <v>9.2496591218980093</v>
      </c>
      <c r="J155" s="13">
        <f>'4.1 Comptes 2023 natures'!J155/'4.1 Comptes 2023 natures'!J3</f>
        <v>144.57232037691401</v>
      </c>
      <c r="K155" s="13">
        <f>'4.1 Comptes 2023 natures'!K155/'4.1 Comptes 2023 natures'!K3</f>
        <v>5.7244493392070481</v>
      </c>
      <c r="L155" s="13">
        <f>'4.1 Comptes 2023 natures'!L155/'4.1 Comptes 2023 natures'!L3</f>
        <v>-170.68542271763874</v>
      </c>
      <c r="M155" s="13">
        <f>'4.1 Comptes 2023 natures'!M155/'4.1 Comptes 2023 natures'!M3</f>
        <v>22.23212827988338</v>
      </c>
      <c r="N155" s="13">
        <f>'4.1 Comptes 2023 natures'!N155/'4.1 Comptes 2023 natures'!N3</f>
        <v>-135.92495726495727</v>
      </c>
      <c r="O155" s="13">
        <f>'4.1 Comptes 2023 natures'!O155/'4.1 Comptes 2023 natures'!O3</f>
        <v>-82.898046726433037</v>
      </c>
      <c r="P155" s="13">
        <f>'4.1 Comptes 2023 natures'!P155/'4.1 Comptes 2023 natures'!P3</f>
        <v>242.57828037383177</v>
      </c>
      <c r="Q155" s="13">
        <f>'4.1 Comptes 2023 natures'!Q155/'4.1 Comptes 2023 natures'!Q3</f>
        <v>-363.34580357142858</v>
      </c>
      <c r="R155" s="13">
        <f>'4.1 Comptes 2023 natures'!R155/'4.1 Comptes 2023 natures'!R3</f>
        <v>121.42292857142857</v>
      </c>
      <c r="S155" s="13">
        <f>'4.1 Comptes 2023 natures'!S155/'4.1 Comptes 2023 natures'!S3</f>
        <v>-106.96226361031519</v>
      </c>
      <c r="T155" s="13">
        <f>'4.1 Comptes 2023 natures'!T155/'4.1 Comptes 2023 natures'!T3</f>
        <v>82.922687585266033</v>
      </c>
      <c r="U155" s="13">
        <f>'4.1 Comptes 2023 natures'!U155/'4.1 Comptes 2023 natures'!U3</f>
        <v>35.206410256410258</v>
      </c>
      <c r="V155" s="13">
        <f>'4.1 Comptes 2023 natures'!V155/'4.1 Comptes 2023 natures'!V3</f>
        <v>59.756009280742461</v>
      </c>
      <c r="W155" s="13">
        <f>'4.1 Comptes 2023 natures'!W155/'4.1 Comptes 2023 natures'!W3</f>
        <v>17.437693484245948</v>
      </c>
      <c r="X155" s="13">
        <f>'4.1 Comptes 2023 natures'!X155/'4.1 Comptes 2023 natures'!X3</f>
        <v>142.24547540983608</v>
      </c>
      <c r="Y155" s="13">
        <f>'4.1 Comptes 2023 natures'!Y155/'4.1 Comptes 2023 natures'!Y3</f>
        <v>747.18633386581473</v>
      </c>
      <c r="Z155" s="13">
        <f>'4.1 Comptes 2023 natures'!Z155/'4.1 Comptes 2023 natures'!Z3</f>
        <v>1435.6349086479902</v>
      </c>
      <c r="AA155" s="13">
        <f>'4.1 Comptes 2023 natures'!AA155/'4.1 Comptes 2023 natures'!AA3</f>
        <v>-60.384765100671139</v>
      </c>
      <c r="AB155" s="13">
        <f>'4.1 Comptes 2023 natures'!AB155/'4.1 Comptes 2023 natures'!AB3</f>
        <v>0</v>
      </c>
      <c r="AC155" s="13">
        <f>'4.1 Comptes 2023 natures'!AC155/'4.1 Comptes 2023 natures'!AC3</f>
        <v>4.3263098591549296</v>
      </c>
      <c r="AD155" s="13">
        <f>'4.1 Comptes 2023 natures'!AD155/'4.1 Comptes 2023 natures'!AD3</f>
        <v>1.8086925795053004</v>
      </c>
      <c r="AE155" s="13">
        <f>'4.1 Comptes 2023 natures'!AE155/'4.1 Comptes 2023 natures'!AE3</f>
        <v>97.036102362204716</v>
      </c>
      <c r="AF155" s="13">
        <f>'4.1 Comptes 2023 natures'!AF155/'4.1 Comptes 2023 natures'!AF3</f>
        <v>715.28203372508938</v>
      </c>
      <c r="AG155" s="13">
        <f>'4.1 Comptes 2023 natures'!AG155/'4.1 Comptes 2023 natures'!AG3</f>
        <v>84.767679127725856</v>
      </c>
      <c r="AH155" s="13">
        <f>'4.1 Comptes 2023 natures'!AH155/'4.1 Comptes 2023 natures'!AH3</f>
        <v>6.361297071129707</v>
      </c>
      <c r="AI155" s="13">
        <f>'4.1 Comptes 2023 natures'!AI155/'4.1 Comptes 2023 natures'!AI3</f>
        <v>35.397199999999998</v>
      </c>
      <c r="AJ155" s="13">
        <f>'4.1 Comptes 2023 natures'!AJ155/'4.1 Comptes 2023 natures'!AJ3</f>
        <v>27.918720503408494</v>
      </c>
      <c r="AK155" s="13">
        <f>'4.1 Comptes 2023 natures'!AK155/'4.1 Comptes 2023 natures'!AK3</f>
        <v>17.912001763668428</v>
      </c>
      <c r="AL155" s="13">
        <f>'4.1 Comptes 2023 natures'!AL155/'4.1 Comptes 2023 natures'!AL3</f>
        <v>38.777988362427266</v>
      </c>
      <c r="AM155" s="13">
        <f>'4.1 Comptes 2023 natures'!AM155/'4.1 Comptes 2023 natures'!AM3</f>
        <v>116.52196428571428</v>
      </c>
      <c r="AN155" s="13">
        <f>'4.1 Comptes 2023 natures'!AN155/'4.1 Comptes 2023 natures'!AN3</f>
        <v>99.85205807002562</v>
      </c>
      <c r="AO155" s="13">
        <f>'4.1 Comptes 2023 natures'!AO155/'4.1 Comptes 2023 natures'!AO3</f>
        <v>-719.03161832061073</v>
      </c>
      <c r="AP155" s="13">
        <f>'4.1 Comptes 2023 natures'!AP155/'4.1 Comptes 2023 natures'!AP3</f>
        <v>90.770808240887476</v>
      </c>
      <c r="AQ155" s="13">
        <f>'4.1 Comptes 2023 natures'!AQ155/'4.1 Comptes 2023 natures'!AQ3</f>
        <v>2.4841808346213292</v>
      </c>
      <c r="AR155" s="13">
        <f>'4.1 Comptes 2023 natures'!AR155/'4.1 Comptes 2023 natures'!AR3</f>
        <v>-96.11378640776698</v>
      </c>
      <c r="AS155" s="13">
        <f>'4.1 Comptes 2023 natures'!AS155/'4.1 Comptes 2023 natures'!AS3</f>
        <v>65.880462264150935</v>
      </c>
      <c r="AT155" s="13">
        <f>'4.1 Comptes 2023 natures'!AT155/'4.1 Comptes 2023 natures'!AT3</f>
        <v>867.85439490445867</v>
      </c>
      <c r="AU155" s="13">
        <f>'4.1 Comptes 2023 natures'!AU155/'4.1 Comptes 2023 natures'!AU3</f>
        <v>-57.844765593151237</v>
      </c>
      <c r="AV155" s="13">
        <f>'4.1 Comptes 2023 natures'!AV155/'4.1 Comptes 2023 natures'!AV3</f>
        <v>4.5137596899224803</v>
      </c>
      <c r="AW155" s="13">
        <f>'4.1 Comptes 2023 natures'!AW155/'4.1 Comptes 2023 natures'!AW3</f>
        <v>1033.7206336088154</v>
      </c>
      <c r="AX155" s="13">
        <f>'4.1 Comptes 2023 natures'!AX155/'4.1 Comptes 2023 natures'!AX3</f>
        <v>-166.2214156626506</v>
      </c>
      <c r="AY155" s="13">
        <f>'4.1 Comptes 2023 natures'!AY155/'4.1 Comptes 2023 natures'!AY3</f>
        <v>21.834007285974501</v>
      </c>
      <c r="AZ155" s="13">
        <f>'4.1 Comptes 2023 natures'!AZ155/'4.1 Comptes 2023 natures'!AZ3</f>
        <v>5.6421522309711278</v>
      </c>
      <c r="BA155" s="13">
        <f>'4.1 Comptes 2023 natures'!BA155/'4.1 Comptes 2023 natures'!BA3</f>
        <v>22.658552507095553</v>
      </c>
      <c r="BB155" s="13">
        <f>'4.1 Comptes 2023 natures'!BB155/'4.1 Comptes 2023 natures'!BB3</f>
        <v>-64.838944099378878</v>
      </c>
      <c r="BC155" s="13">
        <f>'4.1 Comptes 2023 natures'!BC155/'4.1 Comptes 2023 natures'!BC3</f>
        <v>197.29135283363803</v>
      </c>
      <c r="BD155" s="13">
        <f>'4.1 Comptes 2023 natures'!BD155/'4.1 Comptes 2023 natures'!BD3</f>
        <v>42.83788995009926</v>
      </c>
      <c r="BE155" s="13">
        <f>'4.1 Comptes 2023 natures'!BE155/'4.1 Comptes 2023 natures'!BE3</f>
        <v>-46.568403177004541</v>
      </c>
      <c r="BF155" s="13">
        <f>'4.1 Comptes 2023 natures'!BF155/'4.1 Comptes 2023 natures'!BF3</f>
        <v>475.1687807425696</v>
      </c>
      <c r="BG155" s="13">
        <f>'4.1 Comptes 2023 natures'!BG155/'4.1 Comptes 2023 natures'!BG3</f>
        <v>1.4935936281151194</v>
      </c>
    </row>
    <row r="156" spans="1:59" x14ac:dyDescent="0.2">
      <c r="C156" s="8">
        <v>901</v>
      </c>
      <c r="D156" s="8" t="s">
        <v>193</v>
      </c>
      <c r="E156" s="13">
        <f>'4.1 Comptes 2023 natures'!E156/'4.1 Comptes 2023 natures'!E3</f>
        <v>285.53619146722167</v>
      </c>
      <c r="F156" s="13">
        <f>'4.1 Comptes 2023 natures'!F156/'4.1 Comptes 2023 natures'!F3</f>
        <v>197.75199233716475</v>
      </c>
      <c r="G156" s="13">
        <f>'4.1 Comptes 2023 natures'!G156/'4.1 Comptes 2023 natures'!G3</f>
        <v>122.18463562753037</v>
      </c>
      <c r="H156" s="13">
        <f>'4.1 Comptes 2023 natures'!H156/'4.1 Comptes 2023 natures'!H3</f>
        <v>417.23451685393258</v>
      </c>
      <c r="I156" s="13">
        <f>'4.1 Comptes 2023 natures'!I156/'4.1 Comptes 2023 natures'!I3</f>
        <v>33.738519225524954</v>
      </c>
      <c r="J156" s="13">
        <f>'4.1 Comptes 2023 natures'!J156/'4.1 Comptes 2023 natures'!J3</f>
        <v>-63.009785041224973</v>
      </c>
      <c r="K156" s="13">
        <f>'4.1 Comptes 2023 natures'!K156/'4.1 Comptes 2023 natures'!K3</f>
        <v>10.555451541850219</v>
      </c>
      <c r="L156" s="13">
        <f>'4.1 Comptes 2023 natures'!L156/'4.1 Comptes 2023 natures'!L3</f>
        <v>98.636854541172767</v>
      </c>
      <c r="M156" s="13">
        <f>'4.1 Comptes 2023 natures'!M156/'4.1 Comptes 2023 natures'!M3</f>
        <v>150.13319970845481</v>
      </c>
      <c r="N156" s="13">
        <f>'4.1 Comptes 2023 natures'!N156/'4.1 Comptes 2023 natures'!N3</f>
        <v>47.302051282051281</v>
      </c>
      <c r="O156" s="13">
        <f>'4.1 Comptes 2023 natures'!O156/'4.1 Comptes 2023 natures'!O3</f>
        <v>30.385604455311057</v>
      </c>
      <c r="P156" s="13">
        <f>'4.1 Comptes 2023 natures'!P156/'4.1 Comptes 2023 natures'!P3</f>
        <v>121.30489719626169</v>
      </c>
      <c r="Q156" s="13">
        <f>'4.1 Comptes 2023 natures'!Q156/'4.1 Comptes 2023 natures'!Q3</f>
        <v>221.87741071428573</v>
      </c>
      <c r="R156" s="13">
        <f>'4.1 Comptes 2023 natures'!R156/'4.1 Comptes 2023 natures'!R3</f>
        <v>-114.9565238095238</v>
      </c>
      <c r="S156" s="13">
        <f>'4.1 Comptes 2023 natures'!S156/'4.1 Comptes 2023 natures'!S3</f>
        <v>-74.638481375358168</v>
      </c>
      <c r="T156" s="13">
        <f>'4.1 Comptes 2023 natures'!T156/'4.1 Comptes 2023 natures'!T3</f>
        <v>80.475334242837647</v>
      </c>
      <c r="U156" s="13">
        <f>'4.1 Comptes 2023 natures'!U156/'4.1 Comptes 2023 natures'!U3</f>
        <v>69.602527472527484</v>
      </c>
      <c r="V156" s="13">
        <f>'4.1 Comptes 2023 natures'!V156/'4.1 Comptes 2023 natures'!V3</f>
        <v>63.713665893271461</v>
      </c>
      <c r="W156" s="13">
        <f>'4.1 Comptes 2023 natures'!W156/'4.1 Comptes 2023 natures'!W3</f>
        <v>34.221000305903942</v>
      </c>
      <c r="X156" s="13">
        <f>'4.1 Comptes 2023 natures'!X156/'4.1 Comptes 2023 natures'!X3</f>
        <v>51.644590163934424</v>
      </c>
      <c r="Y156" s="13">
        <f>'4.1 Comptes 2023 natures'!Y156/'4.1 Comptes 2023 natures'!Y3</f>
        <v>121.11448881789137</v>
      </c>
      <c r="Z156" s="13">
        <f>'4.1 Comptes 2023 natures'!Z156/'4.1 Comptes 2023 natures'!Z3</f>
        <v>194.79681485992691</v>
      </c>
      <c r="AA156" s="13">
        <f>'4.1 Comptes 2023 natures'!AA156/'4.1 Comptes 2023 natures'!AA3</f>
        <v>165.2723489932886</v>
      </c>
      <c r="AB156" s="13">
        <f>'4.1 Comptes 2023 natures'!AB156/'4.1 Comptes 2023 natures'!AB3</f>
        <v>-510.5451568627451</v>
      </c>
      <c r="AC156" s="13">
        <f>'4.1 Comptes 2023 natures'!AC156/'4.1 Comptes 2023 natures'!AC3</f>
        <v>11.399957746478874</v>
      </c>
      <c r="AD156" s="13">
        <f>'4.1 Comptes 2023 natures'!AD156/'4.1 Comptes 2023 natures'!AD3</f>
        <v>-31.046024734982332</v>
      </c>
      <c r="AE156" s="13">
        <f>'4.1 Comptes 2023 natures'!AE156/'4.1 Comptes 2023 natures'!AE3</f>
        <v>57.742244094488193</v>
      </c>
      <c r="AF156" s="13">
        <f>'4.1 Comptes 2023 natures'!AF156/'4.1 Comptes 2023 natures'!AF3</f>
        <v>173.18268778742976</v>
      </c>
      <c r="AG156" s="13">
        <f>'4.1 Comptes 2023 natures'!AG156/'4.1 Comptes 2023 natures'!AG3</f>
        <v>139.99836838006232</v>
      </c>
      <c r="AH156" s="13">
        <f>'4.1 Comptes 2023 natures'!AH156/'4.1 Comptes 2023 natures'!AH3</f>
        <v>188.42736401673639</v>
      </c>
      <c r="AI156" s="13">
        <f>'4.1 Comptes 2023 natures'!AI156/'4.1 Comptes 2023 natures'!AI3</f>
        <v>804.71911999999998</v>
      </c>
      <c r="AJ156" s="13">
        <f>'4.1 Comptes 2023 natures'!AJ156/'4.1 Comptes 2023 natures'!AJ3</f>
        <v>117.45216046145778</v>
      </c>
      <c r="AK156" s="13">
        <f>'4.1 Comptes 2023 natures'!AK156/'4.1 Comptes 2023 natures'!AK3</f>
        <v>-1.2071957671957672</v>
      </c>
      <c r="AL156" s="13">
        <f>'4.1 Comptes 2023 natures'!AL156/'4.1 Comptes 2023 natures'!AL3</f>
        <v>22.068229426433916</v>
      </c>
      <c r="AM156" s="13">
        <f>'4.1 Comptes 2023 natures'!AM156/'4.1 Comptes 2023 natures'!AM3</f>
        <v>-359.73160714285717</v>
      </c>
      <c r="AN156" s="13">
        <f>'4.1 Comptes 2023 natures'!AN156/'4.1 Comptes 2023 natures'!AN3</f>
        <v>-85.513142613151146</v>
      </c>
      <c r="AO156" s="13">
        <f>'4.1 Comptes 2023 natures'!AO156/'4.1 Comptes 2023 natures'!AO3</f>
        <v>5.5740916030534358</v>
      </c>
      <c r="AP156" s="13">
        <f>'4.1 Comptes 2023 natures'!AP156/'4.1 Comptes 2023 natures'!AP3</f>
        <v>-1.4903011093502376</v>
      </c>
      <c r="AQ156" s="13">
        <f>'4.1 Comptes 2023 natures'!AQ156/'4.1 Comptes 2023 natures'!AQ3</f>
        <v>84.973902627511592</v>
      </c>
      <c r="AR156" s="13">
        <f>'4.1 Comptes 2023 natures'!AR156/'4.1 Comptes 2023 natures'!AR3</f>
        <v>-141.53439667128987</v>
      </c>
      <c r="AS156" s="13">
        <f>'4.1 Comptes 2023 natures'!AS156/'4.1 Comptes 2023 natures'!AS3</f>
        <v>-16.433745283018869</v>
      </c>
      <c r="AT156" s="13">
        <f>'4.1 Comptes 2023 natures'!AT156/'4.1 Comptes 2023 natures'!AT3</f>
        <v>15.262993630573249</v>
      </c>
      <c r="AU156" s="13">
        <f>'4.1 Comptes 2023 natures'!AU156/'4.1 Comptes 2023 natures'!AU3</f>
        <v>-7.7799796167957602</v>
      </c>
      <c r="AV156" s="13">
        <f>'4.1 Comptes 2023 natures'!AV156/'4.1 Comptes 2023 natures'!AV3</f>
        <v>53.167403100775196</v>
      </c>
      <c r="AW156" s="13">
        <f>'4.1 Comptes 2023 natures'!AW156/'4.1 Comptes 2023 natures'!AW3</f>
        <v>165.22625344352616</v>
      </c>
      <c r="AX156" s="13">
        <f>'4.1 Comptes 2023 natures'!AX156/'4.1 Comptes 2023 natures'!AX3</f>
        <v>81.258283132530124</v>
      </c>
      <c r="AY156" s="13">
        <f>'4.1 Comptes 2023 natures'!AY156/'4.1 Comptes 2023 natures'!AY3</f>
        <v>25.3094656952034</v>
      </c>
      <c r="AZ156" s="13">
        <f>'4.1 Comptes 2023 natures'!AZ156/'4.1 Comptes 2023 natures'!AZ3</f>
        <v>10.975065616797901</v>
      </c>
      <c r="BA156" s="13">
        <f>'4.1 Comptes 2023 natures'!BA156/'4.1 Comptes 2023 natures'!BA3</f>
        <v>30.555156102175967</v>
      </c>
      <c r="BB156" s="13">
        <f>'4.1 Comptes 2023 natures'!BB156/'4.1 Comptes 2023 natures'!BB3</f>
        <v>40.255702166338438</v>
      </c>
      <c r="BC156" s="13">
        <f>'4.1 Comptes 2023 natures'!BC156/'4.1 Comptes 2023 natures'!BC3</f>
        <v>1.7073126142595978</v>
      </c>
      <c r="BD156" s="13">
        <f>'4.1 Comptes 2023 natures'!BD156/'4.1 Comptes 2023 natures'!BD3</f>
        <v>55.145674598916145</v>
      </c>
      <c r="BE156" s="13">
        <f>'4.1 Comptes 2023 natures'!BE156/'4.1 Comptes 2023 natures'!BE3</f>
        <v>61.397394351991935</v>
      </c>
      <c r="BF156" s="13">
        <f>'4.1 Comptes 2023 natures'!BF156/'4.1 Comptes 2023 natures'!BF3</f>
        <v>105.91626626151364</v>
      </c>
      <c r="BG156" s="13">
        <f>'4.1 Comptes 2023 natures'!BG156/'4.1 Comptes 2023 natures'!BG3</f>
        <v>23.014939853019666</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4">
        <f>E155+E156</f>
        <v>309.65676378772116</v>
      </c>
      <c r="F158" s="84">
        <f t="shared" ref="F158:BG158" si="26">F155+F156</f>
        <v>637.68800766283528</v>
      </c>
      <c r="G158" s="84">
        <f t="shared" si="26"/>
        <v>225.5471052631579</v>
      </c>
      <c r="H158" s="84">
        <f t="shared" si="26"/>
        <v>277.24883146067418</v>
      </c>
      <c r="I158" s="84">
        <f t="shared" si="26"/>
        <v>42.988178347422959</v>
      </c>
      <c r="J158" s="84">
        <f t="shared" si="26"/>
        <v>81.562535335689034</v>
      </c>
      <c r="K158" s="84">
        <f t="shared" si="26"/>
        <v>16.279900881057266</v>
      </c>
      <c r="L158" s="84">
        <f t="shared" si="26"/>
        <v>-72.048568176465977</v>
      </c>
      <c r="M158" s="84">
        <f t="shared" si="26"/>
        <v>172.36532798833818</v>
      </c>
      <c r="N158" s="84">
        <f t="shared" si="26"/>
        <v>-88.622905982905991</v>
      </c>
      <c r="O158" s="84">
        <f t="shared" si="26"/>
        <v>-52.512442271121984</v>
      </c>
      <c r="P158" s="84">
        <f t="shared" si="26"/>
        <v>363.88317757009349</v>
      </c>
      <c r="Q158" s="84">
        <f t="shared" si="26"/>
        <v>-141.46839285714285</v>
      </c>
      <c r="R158" s="84">
        <f t="shared" si="26"/>
        <v>6.4664047619047693</v>
      </c>
      <c r="S158" s="84">
        <f t="shared" si="26"/>
        <v>-181.60074498567337</v>
      </c>
      <c r="T158" s="84">
        <f t="shared" si="26"/>
        <v>163.39802182810368</v>
      </c>
      <c r="U158" s="84">
        <f t="shared" si="26"/>
        <v>104.80893772893774</v>
      </c>
      <c r="V158" s="84">
        <f t="shared" si="26"/>
        <v>123.46967517401393</v>
      </c>
      <c r="W158" s="84">
        <f t="shared" si="26"/>
        <v>51.65869379014989</v>
      </c>
      <c r="X158" s="84">
        <f t="shared" si="26"/>
        <v>193.8900655737705</v>
      </c>
      <c r="Y158" s="84">
        <f t="shared" si="26"/>
        <v>868.30082268370609</v>
      </c>
      <c r="Z158" s="84">
        <f t="shared" si="26"/>
        <v>1630.431723507917</v>
      </c>
      <c r="AA158" s="84">
        <f t="shared" si="26"/>
        <v>104.88758389261747</v>
      </c>
      <c r="AB158" s="84">
        <f t="shared" si="26"/>
        <v>-510.5451568627451</v>
      </c>
      <c r="AC158" s="84">
        <f t="shared" si="26"/>
        <v>15.726267605633804</v>
      </c>
      <c r="AD158" s="84">
        <f t="shared" si="26"/>
        <v>-29.237332155477031</v>
      </c>
      <c r="AE158" s="84">
        <f t="shared" si="26"/>
        <v>154.7783464566929</v>
      </c>
      <c r="AF158" s="84">
        <f t="shared" si="26"/>
        <v>888.46472151251919</v>
      </c>
      <c r="AG158" s="84">
        <f t="shared" si="26"/>
        <v>224.76604750778819</v>
      </c>
      <c r="AH158" s="84">
        <f t="shared" si="26"/>
        <v>194.7886610878661</v>
      </c>
      <c r="AI158" s="84">
        <f t="shared" si="26"/>
        <v>840.11631999999997</v>
      </c>
      <c r="AJ158" s="84">
        <f t="shared" si="26"/>
        <v>145.37088096486627</v>
      </c>
      <c r="AK158" s="84">
        <f t="shared" si="26"/>
        <v>16.704805996472661</v>
      </c>
      <c r="AL158" s="84">
        <f t="shared" si="26"/>
        <v>60.846217788861182</v>
      </c>
      <c r="AM158" s="84">
        <f t="shared" si="26"/>
        <v>-243.20964285714291</v>
      </c>
      <c r="AN158" s="84">
        <f t="shared" si="26"/>
        <v>14.338915456874474</v>
      </c>
      <c r="AO158" s="84">
        <f t="shared" si="26"/>
        <v>-713.45752671755724</v>
      </c>
      <c r="AP158" s="84">
        <f t="shared" si="26"/>
        <v>89.280507131537234</v>
      </c>
      <c r="AQ158" s="84">
        <f t="shared" si="26"/>
        <v>87.458083462132919</v>
      </c>
      <c r="AR158" s="84">
        <f t="shared" si="26"/>
        <v>-237.64818307905685</v>
      </c>
      <c r="AS158" s="84">
        <f t="shared" si="26"/>
        <v>49.44671698113207</v>
      </c>
      <c r="AT158" s="84">
        <f t="shared" si="26"/>
        <v>883.11738853503198</v>
      </c>
      <c r="AU158" s="84">
        <f t="shared" si="26"/>
        <v>-65.624745209946994</v>
      </c>
      <c r="AV158" s="84">
        <f t="shared" si="26"/>
        <v>57.681162790697677</v>
      </c>
      <c r="AW158" s="84">
        <f t="shared" si="26"/>
        <v>1198.9468870523415</v>
      </c>
      <c r="AX158" s="84">
        <f t="shared" si="26"/>
        <v>-84.963132530120475</v>
      </c>
      <c r="AY158" s="84">
        <f t="shared" si="26"/>
        <v>47.143472981177901</v>
      </c>
      <c r="AZ158" s="84">
        <f t="shared" si="26"/>
        <v>16.617217847769027</v>
      </c>
      <c r="BA158" s="84">
        <f t="shared" si="26"/>
        <v>53.213708609271521</v>
      </c>
      <c r="BB158" s="84">
        <f t="shared" si="26"/>
        <v>-24.583241933040441</v>
      </c>
      <c r="BC158" s="84">
        <f t="shared" si="26"/>
        <v>198.99866544789762</v>
      </c>
      <c r="BD158" s="84">
        <f t="shared" si="26"/>
        <v>97.983564549015398</v>
      </c>
      <c r="BE158" s="84">
        <f t="shared" si="26"/>
        <v>14.828991174987394</v>
      </c>
      <c r="BF158" s="84">
        <f t="shared" si="26"/>
        <v>581.08504700408321</v>
      </c>
      <c r="BG158" s="84">
        <f t="shared" si="26"/>
        <v>24.508533481134783</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row>
    <row r="161" spans="3:59" ht="15" x14ac:dyDescent="0.25">
      <c r="D161" s="83" t="s">
        <v>67</v>
      </c>
      <c r="E161" s="84">
        <f t="shared" ref="E161:AI161" si="27">E158-E154</f>
        <v>0</v>
      </c>
      <c r="F161" s="84">
        <f t="shared" si="27"/>
        <v>0</v>
      </c>
      <c r="G161" s="84">
        <f t="shared" si="27"/>
        <v>0</v>
      </c>
      <c r="H161" s="84">
        <f t="shared" si="27"/>
        <v>0</v>
      </c>
      <c r="I161" s="84">
        <f t="shared" si="27"/>
        <v>0</v>
      </c>
      <c r="J161" s="84">
        <f t="shared" si="27"/>
        <v>0</v>
      </c>
      <c r="K161" s="84">
        <f t="shared" si="27"/>
        <v>0</v>
      </c>
      <c r="L161" s="84">
        <f t="shared" si="27"/>
        <v>0</v>
      </c>
      <c r="M161" s="84">
        <f t="shared" si="27"/>
        <v>0</v>
      </c>
      <c r="N161" s="84">
        <f t="shared" si="27"/>
        <v>0</v>
      </c>
      <c r="O161" s="84">
        <f t="shared" si="27"/>
        <v>0</v>
      </c>
      <c r="P161" s="84">
        <f t="shared" si="27"/>
        <v>0</v>
      </c>
      <c r="Q161" s="84">
        <f t="shared" si="27"/>
        <v>0</v>
      </c>
      <c r="R161" s="84">
        <f t="shared" si="27"/>
        <v>0</v>
      </c>
      <c r="S161" s="84">
        <f t="shared" si="27"/>
        <v>0</v>
      </c>
      <c r="T161" s="84">
        <f t="shared" si="27"/>
        <v>0</v>
      </c>
      <c r="U161" s="84">
        <f t="shared" si="27"/>
        <v>0</v>
      </c>
      <c r="V161" s="84">
        <f t="shared" si="27"/>
        <v>0</v>
      </c>
      <c r="W161" s="84">
        <f t="shared" si="27"/>
        <v>0</v>
      </c>
      <c r="X161" s="84">
        <f t="shared" si="27"/>
        <v>0</v>
      </c>
      <c r="Y161" s="84">
        <f t="shared" si="27"/>
        <v>0</v>
      </c>
      <c r="Z161" s="84">
        <f t="shared" si="27"/>
        <v>0</v>
      </c>
      <c r="AA161" s="84">
        <f t="shared" si="27"/>
        <v>0</v>
      </c>
      <c r="AB161" s="84">
        <f t="shared" si="27"/>
        <v>0</v>
      </c>
      <c r="AC161" s="84">
        <f t="shared" si="27"/>
        <v>0</v>
      </c>
      <c r="AD161" s="84">
        <f t="shared" si="27"/>
        <v>0</v>
      </c>
      <c r="AE161" s="84">
        <f t="shared" si="27"/>
        <v>0</v>
      </c>
      <c r="AF161" s="84">
        <f t="shared" si="27"/>
        <v>0</v>
      </c>
      <c r="AG161" s="84">
        <f t="shared" si="27"/>
        <v>0</v>
      </c>
      <c r="AH161" s="84">
        <f t="shared" si="27"/>
        <v>0</v>
      </c>
      <c r="AI161" s="84">
        <f t="shared" si="27"/>
        <v>0</v>
      </c>
      <c r="AJ161" s="84">
        <f t="shared" ref="AJ161:BG161" si="28">AJ158-AJ154</f>
        <v>0</v>
      </c>
      <c r="AK161" s="84">
        <f t="shared" si="28"/>
        <v>0</v>
      </c>
      <c r="AL161" s="84">
        <f t="shared" si="28"/>
        <v>0</v>
      </c>
      <c r="AM161" s="84">
        <f t="shared" si="28"/>
        <v>0</v>
      </c>
      <c r="AN161" s="84">
        <f t="shared" si="28"/>
        <v>0</v>
      </c>
      <c r="AO161" s="84">
        <f t="shared" si="28"/>
        <v>0</v>
      </c>
      <c r="AP161" s="84">
        <f t="shared" si="28"/>
        <v>0</v>
      </c>
      <c r="AQ161" s="84">
        <f t="shared" si="28"/>
        <v>0</v>
      </c>
      <c r="AR161" s="84">
        <f t="shared" si="28"/>
        <v>0</v>
      </c>
      <c r="AS161" s="84">
        <f t="shared" si="28"/>
        <v>0</v>
      </c>
      <c r="AT161" s="84">
        <f t="shared" si="28"/>
        <v>0</v>
      </c>
      <c r="AU161" s="84">
        <f t="shared" si="28"/>
        <v>0</v>
      </c>
      <c r="AV161" s="84">
        <f t="shared" si="28"/>
        <v>0</v>
      </c>
      <c r="AW161" s="84">
        <f t="shared" si="28"/>
        <v>0</v>
      </c>
      <c r="AX161" s="84">
        <f t="shared" si="28"/>
        <v>0</v>
      </c>
      <c r="AY161" s="84">
        <f t="shared" si="28"/>
        <v>0</v>
      </c>
      <c r="AZ161" s="84">
        <f t="shared" si="28"/>
        <v>0</v>
      </c>
      <c r="BA161" s="84">
        <f t="shared" si="28"/>
        <v>0</v>
      </c>
      <c r="BB161" s="84">
        <f t="shared" si="28"/>
        <v>0</v>
      </c>
      <c r="BC161" s="84">
        <f t="shared" si="28"/>
        <v>0</v>
      </c>
      <c r="BD161" s="84">
        <f t="shared" si="28"/>
        <v>0</v>
      </c>
      <c r="BE161" s="84">
        <f t="shared" si="28"/>
        <v>0</v>
      </c>
      <c r="BF161" s="84">
        <f t="shared" si="28"/>
        <v>0</v>
      </c>
      <c r="BG161" s="84">
        <f t="shared" si="28"/>
        <v>0</v>
      </c>
    </row>
    <row r="164" spans="3:59" ht="15" x14ac:dyDescent="0.25">
      <c r="D164" s="7" t="s">
        <v>447</v>
      </c>
    </row>
    <row r="165" spans="3:59" x14ac:dyDescent="0.2">
      <c r="C165" s="8">
        <v>4021</v>
      </c>
      <c r="D165" s="8" t="s">
        <v>210</v>
      </c>
      <c r="E165" s="13">
        <f>'4.1 Comptes 2023 natures'!E164/'4.1 Comptes 2023 natures'!E3</f>
        <v>154.01795005202914</v>
      </c>
      <c r="F165" s="13">
        <f>'4.1 Comptes 2023 natures'!F164/'4.1 Comptes 2023 natures'!F3</f>
        <v>431.01513409961683</v>
      </c>
      <c r="G165" s="13">
        <f>'4.1 Comptes 2023 natures'!G164/'4.1 Comptes 2023 natures'!G3</f>
        <v>133.94665991902832</v>
      </c>
      <c r="H165" s="13">
        <f>'4.1 Comptes 2023 natures'!H164/'4.1 Comptes 2023 natures'!H3</f>
        <v>213.00067415730337</v>
      </c>
      <c r="I165" s="13">
        <f>'4.1 Comptes 2023 natures'!I164/'4.1 Comptes 2023 natures'!I3</f>
        <v>199.77371148077447</v>
      </c>
      <c r="J165" s="13">
        <f>'4.1 Comptes 2023 natures'!J164/'4.1 Comptes 2023 natures'!J3</f>
        <v>150.70469670200237</v>
      </c>
      <c r="K165" s="13">
        <f>'4.1 Comptes 2023 natures'!K164/'4.1 Comptes 2023 natures'!K3</f>
        <v>103.84546622613803</v>
      </c>
      <c r="L165" s="13">
        <f>'4.1 Comptes 2023 natures'!L164/'4.1 Comptes 2023 natures'!L3</f>
        <v>233.31777612057459</v>
      </c>
      <c r="M165" s="13">
        <f>'4.1 Comptes 2023 natures'!M164/'4.1 Comptes 2023 natures'!M3</f>
        <v>176.82616618075801</v>
      </c>
      <c r="N165" s="13">
        <f>'4.1 Comptes 2023 natures'!N164/'4.1 Comptes 2023 natures'!N3</f>
        <v>105.42948717948718</v>
      </c>
      <c r="O165" s="13">
        <f>'4.1 Comptes 2023 natures'!O164/'4.1 Comptes 2023 natures'!O3</f>
        <v>172.19994566693833</v>
      </c>
      <c r="P165" s="13">
        <f>'4.1 Comptes 2023 natures'!P164/'4.1 Comptes 2023 natures'!P3</f>
        <v>266.36560747663555</v>
      </c>
      <c r="Q165" s="13">
        <f>'4.1 Comptes 2023 natures'!Q164/'4.1 Comptes 2023 natures'!Q3</f>
        <v>192.20624999999998</v>
      </c>
      <c r="R165" s="13">
        <f>'4.1 Comptes 2023 natures'!R164/'4.1 Comptes 2023 natures'!R3</f>
        <v>196.44666666666669</v>
      </c>
      <c r="S165" s="13">
        <f>'4.1 Comptes 2023 natures'!S164/'4.1 Comptes 2023 natures'!S3</f>
        <v>214.2310888252149</v>
      </c>
      <c r="T165" s="13">
        <f>'4.1 Comptes 2023 natures'!T164/'4.1 Comptes 2023 natures'!T3</f>
        <v>157.04815825375172</v>
      </c>
      <c r="U165" s="13">
        <f>'4.1 Comptes 2023 natures'!U164/'4.1 Comptes 2023 natures'!U3</f>
        <v>158.66611721611721</v>
      </c>
      <c r="V165" s="13">
        <f>'4.1 Comptes 2023 natures'!V164/'4.1 Comptes 2023 natures'!V3</f>
        <v>235.58457076566125</v>
      </c>
      <c r="W165" s="13">
        <f>'4.1 Comptes 2023 natures'!W164/'4.1 Comptes 2023 natures'!W3</f>
        <v>180.05535331905782</v>
      </c>
      <c r="X165" s="13">
        <f>'4.1 Comptes 2023 natures'!X164/'4.1 Comptes 2023 natures'!X3</f>
        <v>193.81868852459016</v>
      </c>
      <c r="Y165" s="13">
        <f>'4.1 Comptes 2023 natures'!Y164/'4.1 Comptes 2023 natures'!Y3</f>
        <v>146.72875399361021</v>
      </c>
      <c r="Z165" s="13">
        <f>'4.1 Comptes 2023 natures'!Z164/'4.1 Comptes 2023 natures'!Z3</f>
        <v>165.49305724725943</v>
      </c>
      <c r="AA165" s="13">
        <f>'4.1 Comptes 2023 natures'!AA164/'4.1 Comptes 2023 natures'!AA3</f>
        <v>270.27617449664433</v>
      </c>
      <c r="AB165" s="13">
        <f>'4.1 Comptes 2023 natures'!AB164/'4.1 Comptes 2023 natures'!AB3</f>
        <v>184.79745098039214</v>
      </c>
      <c r="AC165" s="13">
        <f>'4.1 Comptes 2023 natures'!AC164/'4.1 Comptes 2023 natures'!AC3</f>
        <v>269.27556338028171</v>
      </c>
      <c r="AD165" s="13">
        <f>'4.1 Comptes 2023 natures'!AD164/'4.1 Comptes 2023 natures'!AD3</f>
        <v>236.93630742049473</v>
      </c>
      <c r="AE165" s="13">
        <f>'4.1 Comptes 2023 natures'!AE164/'4.1 Comptes 2023 natures'!AE3</f>
        <v>300.06486220472442</v>
      </c>
      <c r="AF165" s="13">
        <f>'4.1 Comptes 2023 natures'!AF164/'4.1 Comptes 2023 natures'!AF3</f>
        <v>238.03270311701584</v>
      </c>
      <c r="AG165" s="13">
        <f>'4.1 Comptes 2023 natures'!AG164/'4.1 Comptes 2023 natures'!AG3</f>
        <v>197.82712227414331</v>
      </c>
      <c r="AH165" s="13">
        <f>'4.1 Comptes 2023 natures'!AH164/'4.1 Comptes 2023 natures'!AH3</f>
        <v>152.09686192468621</v>
      </c>
      <c r="AI165" s="13">
        <f>'4.1 Comptes 2023 natures'!AI164/'4.1 Comptes 2023 natures'!AI3</f>
        <v>533.83319999999992</v>
      </c>
      <c r="AJ165" s="13">
        <f>'4.1 Comptes 2023 natures'!AJ164/'4.1 Comptes 2023 natures'!AJ3</f>
        <v>246.90804929208181</v>
      </c>
      <c r="AK165" s="13">
        <f>'4.1 Comptes 2023 natures'!AK164/'4.1 Comptes 2023 natures'!AK3</f>
        <v>264.77940917107583</v>
      </c>
      <c r="AL165" s="13">
        <f>'4.1 Comptes 2023 natures'!AL164/'4.1 Comptes 2023 natures'!AL3</f>
        <v>210.72689110556942</v>
      </c>
      <c r="AM165" s="13">
        <f>'4.1 Comptes 2023 natures'!AM164/'4.1 Comptes 2023 natures'!AM3</f>
        <v>236.64374999999998</v>
      </c>
      <c r="AN165" s="13">
        <f>'4.1 Comptes 2023 natures'!AN164/'4.1 Comptes 2023 natures'!AN3</f>
        <v>241.14173356105891</v>
      </c>
      <c r="AO165" s="13">
        <f>'4.1 Comptes 2023 natures'!AO164/'4.1 Comptes 2023 natures'!AO3</f>
        <v>221.97038167938933</v>
      </c>
      <c r="AP165" s="13">
        <f>'4.1 Comptes 2023 natures'!AP164/'4.1 Comptes 2023 natures'!AP3</f>
        <v>178.49239302694136</v>
      </c>
      <c r="AQ165" s="13">
        <f>'4.1 Comptes 2023 natures'!AQ164/'4.1 Comptes 2023 natures'!AQ3</f>
        <v>295.00618238021639</v>
      </c>
      <c r="AR165" s="13">
        <f>'4.1 Comptes 2023 natures'!AR164/'4.1 Comptes 2023 natures'!AR3</f>
        <v>258.98481276005549</v>
      </c>
      <c r="AS165" s="13">
        <f>'4.1 Comptes 2023 natures'!AS164/'4.1 Comptes 2023 natures'!AS3</f>
        <v>190.52924528301887</v>
      </c>
      <c r="AT165" s="13">
        <f>'4.1 Comptes 2023 natures'!AT164/'4.1 Comptes 2023 natures'!AT3</f>
        <v>151.20047770700637</v>
      </c>
      <c r="AU165" s="13">
        <f>'4.1 Comptes 2023 natures'!AU164/'4.1 Comptes 2023 natures'!AU3</f>
        <v>226.96993477374644</v>
      </c>
      <c r="AV165" s="13">
        <f>'4.1 Comptes 2023 natures'!AV164/'4.1 Comptes 2023 natures'!AV3</f>
        <v>252.66078811369511</v>
      </c>
      <c r="AW165" s="13">
        <f>'4.1 Comptes 2023 natures'!AW164/'4.1 Comptes 2023 natures'!AW3</f>
        <v>257.82245179063364</v>
      </c>
      <c r="AX165" s="13">
        <f>'4.1 Comptes 2023 natures'!AX164/'4.1 Comptes 2023 natures'!AX3</f>
        <v>271.45156626506025</v>
      </c>
      <c r="AY165" s="13">
        <f>'4.1 Comptes 2023 natures'!AY164/'4.1 Comptes 2023 natures'!AY3</f>
        <v>210.10904675166969</v>
      </c>
      <c r="AZ165" s="13">
        <f>'4.1 Comptes 2023 natures'!AZ164/'4.1 Comptes 2023 natures'!AZ3</f>
        <v>317.54068241469815</v>
      </c>
      <c r="BA165" s="13">
        <f>'4.1 Comptes 2023 natures'!BA164/'4.1 Comptes 2023 natures'!BA3</f>
        <v>273.59795648060549</v>
      </c>
      <c r="BB165" s="13">
        <f>'4.1 Comptes 2023 natures'!BB164/'4.1 Comptes 2023 natures'!BB3</f>
        <v>263.49900772610209</v>
      </c>
      <c r="BC165" s="13">
        <f>'4.1 Comptes 2023 natures'!BC164/'4.1 Comptes 2023 natures'!BC3</f>
        <v>227.34177330895795</v>
      </c>
      <c r="BD165" s="13">
        <f>'4.1 Comptes 2023 natures'!BD164/'4.1 Comptes 2023 natures'!BD3</f>
        <v>211.71069552503079</v>
      </c>
      <c r="BE165" s="13">
        <f>'4.1 Comptes 2023 natures'!BE164/'4.1 Comptes 2023 natures'!BE3</f>
        <v>191.96894730206756</v>
      </c>
      <c r="BF165" s="13">
        <f>'4.1 Comptes 2023 natures'!BF164/'4.1 Comptes 2023 natures'!BF3</f>
        <v>209.26136644193332</v>
      </c>
      <c r="BG165" s="13">
        <f>'4.1 Comptes 2023 natures'!BG164/'4.1 Comptes 2023 natures'!BG3</f>
        <v>244.9147690602291</v>
      </c>
    </row>
    <row r="166" spans="3:59" x14ac:dyDescent="0.2">
      <c r="C166" s="8">
        <v>4490</v>
      </c>
      <c r="D166" s="8" t="s">
        <v>211</v>
      </c>
      <c r="E166" s="13">
        <f>'4.1 Comptes 2023 natures'!E165/'4.1 Comptes 2023 natures'!E3</f>
        <v>0</v>
      </c>
      <c r="F166" s="13">
        <f>'4.1 Comptes 2023 natures'!F165/'4.1 Comptes 2023 natures'!F3</f>
        <v>0</v>
      </c>
      <c r="G166" s="13">
        <f>'4.1 Comptes 2023 natures'!G165/'4.1 Comptes 2023 natures'!G3</f>
        <v>0</v>
      </c>
      <c r="H166" s="13">
        <f>'4.1 Comptes 2023 natures'!H165/'4.1 Comptes 2023 natures'!H3</f>
        <v>0</v>
      </c>
      <c r="I166" s="13">
        <f>'4.1 Comptes 2023 natures'!I165/'4.1 Comptes 2023 natures'!I3</f>
        <v>0</v>
      </c>
      <c r="J166" s="13">
        <f>'4.1 Comptes 2023 natures'!J165/'4.1 Comptes 2023 natures'!J3</f>
        <v>0</v>
      </c>
      <c r="K166" s="13">
        <f>'4.1 Comptes 2023 natures'!K165/'4.1 Comptes 2023 natures'!K3</f>
        <v>0</v>
      </c>
      <c r="L166" s="13">
        <f>'4.1 Comptes 2023 natures'!L165/'4.1 Comptes 2023 natures'!L3</f>
        <v>0</v>
      </c>
      <c r="M166" s="13">
        <f>'4.1 Comptes 2023 natures'!M165/'4.1 Comptes 2023 natures'!M3</f>
        <v>0</v>
      </c>
      <c r="N166" s="13">
        <f>'4.1 Comptes 2023 natures'!N165/'4.1 Comptes 2023 natures'!N3</f>
        <v>0</v>
      </c>
      <c r="O166" s="13">
        <f>'4.1 Comptes 2023 natures'!O165/'4.1 Comptes 2023 natures'!O3</f>
        <v>0.21278185275740288</v>
      </c>
      <c r="P166" s="13">
        <f>'4.1 Comptes 2023 natures'!P165/'4.1 Comptes 2023 natures'!P3</f>
        <v>0</v>
      </c>
      <c r="Q166" s="13">
        <f>'4.1 Comptes 2023 natures'!Q165/'4.1 Comptes 2023 natures'!Q3</f>
        <v>0</v>
      </c>
      <c r="R166" s="13">
        <f>'4.1 Comptes 2023 natures'!R165/'4.1 Comptes 2023 natures'!R3</f>
        <v>0</v>
      </c>
      <c r="S166" s="13">
        <f>'4.1 Comptes 2023 natures'!S165/'4.1 Comptes 2023 natures'!S3</f>
        <v>0</v>
      </c>
      <c r="T166" s="13">
        <f>'4.1 Comptes 2023 natures'!T165/'4.1 Comptes 2023 natures'!T3</f>
        <v>0</v>
      </c>
      <c r="U166" s="13">
        <f>'4.1 Comptes 2023 natures'!U165/'4.1 Comptes 2023 natures'!U3</f>
        <v>0</v>
      </c>
      <c r="V166" s="13">
        <f>'4.1 Comptes 2023 natures'!V165/'4.1 Comptes 2023 natures'!V3</f>
        <v>0</v>
      </c>
      <c r="W166" s="13">
        <f>'4.1 Comptes 2023 natures'!W165/'4.1 Comptes 2023 natures'!W3</f>
        <v>0</v>
      </c>
      <c r="X166" s="13">
        <f>'4.1 Comptes 2023 natures'!X165/'4.1 Comptes 2023 natures'!X3</f>
        <v>0</v>
      </c>
      <c r="Y166" s="13">
        <f>'4.1 Comptes 2023 natures'!Y165/'4.1 Comptes 2023 natures'!Y3</f>
        <v>0</v>
      </c>
      <c r="Z166" s="13">
        <f>'4.1 Comptes 2023 natures'!Z165/'4.1 Comptes 2023 natures'!Z3</f>
        <v>0</v>
      </c>
      <c r="AA166" s="13">
        <f>'4.1 Comptes 2023 natures'!AA165/'4.1 Comptes 2023 natures'!AA3</f>
        <v>0</v>
      </c>
      <c r="AB166" s="13">
        <f>'4.1 Comptes 2023 natures'!AB165/'4.1 Comptes 2023 natures'!AB3</f>
        <v>0</v>
      </c>
      <c r="AC166" s="13">
        <f>'4.1 Comptes 2023 natures'!AC165/'4.1 Comptes 2023 natures'!AC3</f>
        <v>0</v>
      </c>
      <c r="AD166" s="13">
        <f>'4.1 Comptes 2023 natures'!AD165/'4.1 Comptes 2023 natures'!AD3</f>
        <v>0</v>
      </c>
      <c r="AE166" s="13">
        <f>'4.1 Comptes 2023 natures'!AE165/'4.1 Comptes 2023 natures'!AE3</f>
        <v>0</v>
      </c>
      <c r="AF166" s="13">
        <f>'4.1 Comptes 2023 natures'!AF165/'4.1 Comptes 2023 natures'!AF3</f>
        <v>1.6285130301481862E-2</v>
      </c>
      <c r="AG166" s="13">
        <f>'4.1 Comptes 2023 natures'!AG165/'4.1 Comptes 2023 natures'!AG3</f>
        <v>0</v>
      </c>
      <c r="AH166" s="13">
        <f>'4.1 Comptes 2023 natures'!AH165/'4.1 Comptes 2023 natures'!AH3</f>
        <v>0</v>
      </c>
      <c r="AI166" s="13">
        <f>'4.1 Comptes 2023 natures'!AI165/'4.1 Comptes 2023 natures'!AI3</f>
        <v>55.36</v>
      </c>
      <c r="AJ166" s="13">
        <f>'4.1 Comptes 2023 natures'!AJ165/'4.1 Comptes 2023 natures'!AJ3</f>
        <v>0</v>
      </c>
      <c r="AK166" s="13">
        <f>'4.1 Comptes 2023 natures'!AK165/'4.1 Comptes 2023 natures'!AK3</f>
        <v>0</v>
      </c>
      <c r="AL166" s="13">
        <f>'4.1 Comptes 2023 natures'!AL165/'4.1 Comptes 2023 natures'!AL3</f>
        <v>0</v>
      </c>
      <c r="AM166" s="13">
        <f>'4.1 Comptes 2023 natures'!AM165/'4.1 Comptes 2023 natures'!AM3</f>
        <v>0</v>
      </c>
      <c r="AN166" s="13">
        <f>'4.1 Comptes 2023 natures'!AN165/'4.1 Comptes 2023 natures'!AN3</f>
        <v>0</v>
      </c>
      <c r="AO166" s="13">
        <f>'4.1 Comptes 2023 natures'!AO165/'4.1 Comptes 2023 natures'!AO3</f>
        <v>0</v>
      </c>
      <c r="AP166" s="13">
        <f>'4.1 Comptes 2023 natures'!AP165/'4.1 Comptes 2023 natures'!AP3</f>
        <v>0</v>
      </c>
      <c r="AQ166" s="13">
        <f>'4.1 Comptes 2023 natures'!AQ165/'4.1 Comptes 2023 natures'!AQ3</f>
        <v>0</v>
      </c>
      <c r="AR166" s="13">
        <f>'4.1 Comptes 2023 natures'!AR165/'4.1 Comptes 2023 natures'!AR3</f>
        <v>0</v>
      </c>
      <c r="AS166" s="13">
        <f>'4.1 Comptes 2023 natures'!AS165/'4.1 Comptes 2023 natures'!AS3</f>
        <v>0</v>
      </c>
      <c r="AT166" s="13">
        <f>'4.1 Comptes 2023 natures'!AT165/'4.1 Comptes 2023 natures'!AT3</f>
        <v>0</v>
      </c>
      <c r="AU166" s="13">
        <f>'4.1 Comptes 2023 natures'!AU165/'4.1 Comptes 2023 natures'!AU3</f>
        <v>0</v>
      </c>
      <c r="AV166" s="13">
        <f>'4.1 Comptes 2023 natures'!AV165/'4.1 Comptes 2023 natures'!AV3</f>
        <v>0</v>
      </c>
      <c r="AW166" s="13">
        <f>'4.1 Comptes 2023 natures'!AW165/'4.1 Comptes 2023 natures'!AW3</f>
        <v>0</v>
      </c>
      <c r="AX166" s="13">
        <f>'4.1 Comptes 2023 natures'!AX165/'4.1 Comptes 2023 natures'!AX3</f>
        <v>0</v>
      </c>
      <c r="AY166" s="13">
        <f>'4.1 Comptes 2023 natures'!AY165/'4.1 Comptes 2023 natures'!AY3</f>
        <v>0</v>
      </c>
      <c r="AZ166" s="13">
        <f>'4.1 Comptes 2023 natures'!AZ165/'4.1 Comptes 2023 natures'!AZ3</f>
        <v>0</v>
      </c>
      <c r="BA166" s="13">
        <f>'4.1 Comptes 2023 natures'!BA165/'4.1 Comptes 2023 natures'!BA3</f>
        <v>0</v>
      </c>
      <c r="BB166" s="13">
        <f>'4.1 Comptes 2023 natures'!BB165/'4.1 Comptes 2023 natures'!BB3</f>
        <v>0</v>
      </c>
      <c r="BC166" s="13">
        <f>'4.1 Comptes 2023 natures'!BC165/'4.1 Comptes 2023 natures'!BC3</f>
        <v>0</v>
      </c>
      <c r="BD166" s="13">
        <f t="shared" ref="BD166:BD177" si="29">SUM(E166:BC166)</f>
        <v>55.589066983058885</v>
      </c>
      <c r="BE166" s="13">
        <f t="shared" ref="BE166:BE177" si="30">SUM(E166:W166)</f>
        <v>0.21278185275740288</v>
      </c>
      <c r="BF166" s="13">
        <f t="shared" ref="BF166:BF177" si="31">SUM(X166:AI166)</f>
        <v>55.376285130301483</v>
      </c>
      <c r="BG166" s="13">
        <f t="shared" ref="BG166:BG177" si="32">SUM(AJ166:BC166)</f>
        <v>0</v>
      </c>
    </row>
    <row r="167" spans="3:59" x14ac:dyDescent="0.2">
      <c r="C167" s="8">
        <v>46227</v>
      </c>
      <c r="D167" s="8" t="s">
        <v>267</v>
      </c>
      <c r="E167" s="13" t="e">
        <f>'4.1 Comptes 2023 natures'!#REF!/'4.1 Comptes 2023 natures'!E3</f>
        <v>#REF!</v>
      </c>
      <c r="F167" s="13" t="e">
        <f>'4.1 Comptes 2023 natures'!#REF!/'4.1 Comptes 2023 natures'!F3</f>
        <v>#REF!</v>
      </c>
      <c r="G167" s="13" t="e">
        <f>'4.1 Comptes 2023 natures'!#REF!/'4.1 Comptes 2023 natures'!G3</f>
        <v>#REF!</v>
      </c>
      <c r="H167" s="13" t="e">
        <f>'4.1 Comptes 2023 natures'!#REF!/'4.1 Comptes 2023 natures'!H3</f>
        <v>#REF!</v>
      </c>
      <c r="I167" s="13" t="e">
        <f>'4.1 Comptes 2023 natures'!#REF!/'4.1 Comptes 2023 natures'!I3</f>
        <v>#REF!</v>
      </c>
      <c r="J167" s="13" t="e">
        <f>'4.1 Comptes 2023 natures'!#REF!/'4.1 Comptes 2023 natures'!J3</f>
        <v>#REF!</v>
      </c>
      <c r="K167" s="13" t="e">
        <f>'4.1 Comptes 2023 natures'!#REF!/'4.1 Comptes 2023 natures'!K3</f>
        <v>#REF!</v>
      </c>
      <c r="L167" s="13" t="e">
        <f>'4.1 Comptes 2023 natures'!#REF!/'4.1 Comptes 2023 natures'!L3</f>
        <v>#REF!</v>
      </c>
      <c r="M167" s="13" t="e">
        <f>'4.1 Comptes 2023 natures'!#REF!/'4.1 Comptes 2023 natures'!M3</f>
        <v>#REF!</v>
      </c>
      <c r="N167" s="13" t="e">
        <f>'4.1 Comptes 2023 natures'!#REF!/'4.1 Comptes 2023 natures'!N3</f>
        <v>#REF!</v>
      </c>
      <c r="O167" s="13" t="e">
        <f>'4.1 Comptes 2023 natures'!#REF!/'4.1 Comptes 2023 natures'!O3</f>
        <v>#REF!</v>
      </c>
      <c r="P167" s="13" t="e">
        <f>'4.1 Comptes 2023 natures'!#REF!/'4.1 Comptes 2023 natures'!P3</f>
        <v>#REF!</v>
      </c>
      <c r="Q167" s="13" t="e">
        <f>'4.1 Comptes 2023 natures'!#REF!/'4.1 Comptes 2023 natures'!Q3</f>
        <v>#REF!</v>
      </c>
      <c r="R167" s="13" t="e">
        <f>'4.1 Comptes 2023 natures'!#REF!/'4.1 Comptes 2023 natures'!R3</f>
        <v>#REF!</v>
      </c>
      <c r="S167" s="13" t="e">
        <f>'4.1 Comptes 2023 natures'!#REF!/'4.1 Comptes 2023 natures'!S3</f>
        <v>#REF!</v>
      </c>
      <c r="T167" s="13" t="e">
        <f>'4.1 Comptes 2023 natures'!#REF!/'4.1 Comptes 2023 natures'!T3</f>
        <v>#REF!</v>
      </c>
      <c r="U167" s="13" t="e">
        <f>'4.1 Comptes 2023 natures'!#REF!/'4.1 Comptes 2023 natures'!U3</f>
        <v>#REF!</v>
      </c>
      <c r="V167" s="13" t="e">
        <f>'4.1 Comptes 2023 natures'!#REF!/'4.1 Comptes 2023 natures'!V3</f>
        <v>#REF!</v>
      </c>
      <c r="W167" s="13" t="e">
        <f>'4.1 Comptes 2023 natures'!#REF!/'4.1 Comptes 2023 natures'!W3</f>
        <v>#REF!</v>
      </c>
      <c r="X167" s="13" t="e">
        <f>'4.1 Comptes 2023 natures'!#REF!/'4.1 Comptes 2023 natures'!X3</f>
        <v>#REF!</v>
      </c>
      <c r="Y167" s="13" t="e">
        <f>'4.1 Comptes 2023 natures'!#REF!/'4.1 Comptes 2023 natures'!Y3</f>
        <v>#REF!</v>
      </c>
      <c r="Z167" s="13" t="e">
        <f>'4.1 Comptes 2023 natures'!#REF!/'4.1 Comptes 2023 natures'!Z3</f>
        <v>#REF!</v>
      </c>
      <c r="AA167" s="13" t="e">
        <f>'4.1 Comptes 2023 natures'!#REF!/'4.1 Comptes 2023 natures'!AA3</f>
        <v>#REF!</v>
      </c>
      <c r="AB167" s="13" t="e">
        <f>'4.1 Comptes 2023 natures'!#REF!/'4.1 Comptes 2023 natures'!AB3</f>
        <v>#REF!</v>
      </c>
      <c r="AC167" s="13" t="e">
        <f>'4.1 Comptes 2023 natures'!#REF!/'4.1 Comptes 2023 natures'!AC3</f>
        <v>#REF!</v>
      </c>
      <c r="AD167" s="13" t="e">
        <f>'4.1 Comptes 2023 natures'!#REF!/'4.1 Comptes 2023 natures'!AD3</f>
        <v>#REF!</v>
      </c>
      <c r="AE167" s="13" t="e">
        <f>'4.1 Comptes 2023 natures'!#REF!/'4.1 Comptes 2023 natures'!AE3</f>
        <v>#REF!</v>
      </c>
      <c r="AF167" s="13" t="e">
        <f>'4.1 Comptes 2023 natures'!#REF!/'4.1 Comptes 2023 natures'!AF3</f>
        <v>#REF!</v>
      </c>
      <c r="AG167" s="13" t="e">
        <f>'4.1 Comptes 2023 natures'!#REF!/'4.1 Comptes 2023 natures'!AG3</f>
        <v>#REF!</v>
      </c>
      <c r="AH167" s="13" t="e">
        <f>'4.1 Comptes 2023 natures'!#REF!/'4.1 Comptes 2023 natures'!AH3</f>
        <v>#REF!</v>
      </c>
      <c r="AI167" s="13" t="e">
        <f>'4.1 Comptes 2023 natures'!#REF!/'4.1 Comptes 2023 natures'!AI3</f>
        <v>#REF!</v>
      </c>
      <c r="AJ167" s="13" t="e">
        <f>'4.1 Comptes 2023 natures'!#REF!/'4.1 Comptes 2023 natures'!AJ3</f>
        <v>#REF!</v>
      </c>
      <c r="AK167" s="13" t="e">
        <f>'4.1 Comptes 2023 natures'!#REF!/'4.1 Comptes 2023 natures'!AK3</f>
        <v>#REF!</v>
      </c>
      <c r="AL167" s="13" t="e">
        <f>'4.1 Comptes 2023 natures'!#REF!/'4.1 Comptes 2023 natures'!AL3</f>
        <v>#REF!</v>
      </c>
      <c r="AM167" s="13" t="e">
        <f>'4.1 Comptes 2023 natures'!#REF!/'4.1 Comptes 2023 natures'!AM3</f>
        <v>#REF!</v>
      </c>
      <c r="AN167" s="13" t="e">
        <f>'4.1 Comptes 2023 natures'!#REF!/'4.1 Comptes 2023 natures'!AN3</f>
        <v>#REF!</v>
      </c>
      <c r="AO167" s="13" t="e">
        <f>'4.1 Comptes 2023 natures'!#REF!/'4.1 Comptes 2023 natures'!AO3</f>
        <v>#REF!</v>
      </c>
      <c r="AP167" s="13" t="e">
        <f>'4.1 Comptes 2023 natures'!#REF!/'4.1 Comptes 2023 natures'!AP3</f>
        <v>#REF!</v>
      </c>
      <c r="AQ167" s="13" t="e">
        <f>'4.1 Comptes 2023 natures'!#REF!/'4.1 Comptes 2023 natures'!AQ3</f>
        <v>#REF!</v>
      </c>
      <c r="AR167" s="13" t="e">
        <f>'4.1 Comptes 2023 natures'!#REF!/'4.1 Comptes 2023 natures'!AR3</f>
        <v>#REF!</v>
      </c>
      <c r="AS167" s="13" t="e">
        <f>'4.1 Comptes 2023 natures'!#REF!/'4.1 Comptes 2023 natures'!AS3</f>
        <v>#REF!</v>
      </c>
      <c r="AT167" s="13" t="e">
        <f>'4.1 Comptes 2023 natures'!#REF!/'4.1 Comptes 2023 natures'!AT3</f>
        <v>#REF!</v>
      </c>
      <c r="AU167" s="13" t="e">
        <f>'4.1 Comptes 2023 natures'!#REF!/'4.1 Comptes 2023 natures'!AU3</f>
        <v>#REF!</v>
      </c>
      <c r="AV167" s="13" t="e">
        <f>'4.1 Comptes 2023 natures'!#REF!/'4.1 Comptes 2023 natures'!AV3</f>
        <v>#REF!</v>
      </c>
      <c r="AW167" s="13" t="e">
        <f>'4.1 Comptes 2023 natures'!#REF!/'4.1 Comptes 2023 natures'!AW3</f>
        <v>#REF!</v>
      </c>
      <c r="AX167" s="13" t="e">
        <f>'4.1 Comptes 2023 natures'!#REF!/'4.1 Comptes 2023 natures'!AX3</f>
        <v>#REF!</v>
      </c>
      <c r="AY167" s="13" t="e">
        <f>'4.1 Comptes 2023 natures'!#REF!/'4.1 Comptes 2023 natures'!AY3</f>
        <v>#REF!</v>
      </c>
      <c r="AZ167" s="13" t="e">
        <f>'4.1 Comptes 2023 natures'!#REF!/'4.1 Comptes 2023 natures'!AZ3</f>
        <v>#REF!</v>
      </c>
      <c r="BA167" s="13" t="e">
        <f>'4.1 Comptes 2023 natures'!#REF!/'4.1 Comptes 2023 natures'!BA3</f>
        <v>#REF!</v>
      </c>
      <c r="BB167" s="13" t="e">
        <f>'4.1 Comptes 2023 natures'!#REF!/'4.1 Comptes 2023 natures'!BB3</f>
        <v>#REF!</v>
      </c>
      <c r="BC167" s="13" t="e">
        <f>'4.1 Comptes 2023 natures'!#REF!/'4.1 Comptes 2023 natures'!BC3</f>
        <v>#REF!</v>
      </c>
      <c r="BD167" s="13" t="e">
        <f t="shared" si="29"/>
        <v>#REF!</v>
      </c>
      <c r="BE167" s="13" t="e">
        <f t="shared" si="30"/>
        <v>#REF!</v>
      </c>
      <c r="BF167" s="13" t="e">
        <f t="shared" si="31"/>
        <v>#REF!</v>
      </c>
      <c r="BG167" s="13" t="e">
        <f t="shared" si="32"/>
        <v>#REF!</v>
      </c>
    </row>
    <row r="168" spans="3:59" x14ac:dyDescent="0.2">
      <c r="C168" s="8">
        <v>46228</v>
      </c>
      <c r="D168" s="8" t="s">
        <v>268</v>
      </c>
      <c r="E168" s="13" t="e">
        <f>'4.1 Comptes 2023 natures'!#REF!/'4.1 Comptes 2023 natures'!E3</f>
        <v>#REF!</v>
      </c>
      <c r="F168" s="13" t="e">
        <f>'4.1 Comptes 2023 natures'!#REF!/'4.1 Comptes 2023 natures'!F3</f>
        <v>#REF!</v>
      </c>
      <c r="G168" s="13" t="e">
        <f>'4.1 Comptes 2023 natures'!#REF!/'4.1 Comptes 2023 natures'!G3</f>
        <v>#REF!</v>
      </c>
      <c r="H168" s="13" t="e">
        <f>'4.1 Comptes 2023 natures'!#REF!/'4.1 Comptes 2023 natures'!H3</f>
        <v>#REF!</v>
      </c>
      <c r="I168" s="13" t="e">
        <f>'4.1 Comptes 2023 natures'!#REF!/'4.1 Comptes 2023 natures'!I3</f>
        <v>#REF!</v>
      </c>
      <c r="J168" s="13" t="e">
        <f>'4.1 Comptes 2023 natures'!#REF!/'4.1 Comptes 2023 natures'!J3</f>
        <v>#REF!</v>
      </c>
      <c r="K168" s="13" t="e">
        <f>'4.1 Comptes 2023 natures'!#REF!/'4.1 Comptes 2023 natures'!K3</f>
        <v>#REF!</v>
      </c>
      <c r="L168" s="13" t="e">
        <f>'4.1 Comptes 2023 natures'!#REF!/'4.1 Comptes 2023 natures'!L3</f>
        <v>#REF!</v>
      </c>
      <c r="M168" s="13" t="e">
        <f>'4.1 Comptes 2023 natures'!#REF!/'4.1 Comptes 2023 natures'!M3</f>
        <v>#REF!</v>
      </c>
      <c r="N168" s="13" t="e">
        <f>'4.1 Comptes 2023 natures'!#REF!/'4.1 Comptes 2023 natures'!N3</f>
        <v>#REF!</v>
      </c>
      <c r="O168" s="13" t="e">
        <f>'4.1 Comptes 2023 natures'!#REF!/'4.1 Comptes 2023 natures'!O3</f>
        <v>#REF!</v>
      </c>
      <c r="P168" s="13" t="e">
        <f>'4.1 Comptes 2023 natures'!#REF!/'4.1 Comptes 2023 natures'!P3</f>
        <v>#REF!</v>
      </c>
      <c r="Q168" s="13" t="e">
        <f>'4.1 Comptes 2023 natures'!#REF!/'4.1 Comptes 2023 natures'!Q3</f>
        <v>#REF!</v>
      </c>
      <c r="R168" s="13" t="e">
        <f>'4.1 Comptes 2023 natures'!#REF!/'4.1 Comptes 2023 natures'!R3</f>
        <v>#REF!</v>
      </c>
      <c r="S168" s="13" t="e">
        <f>'4.1 Comptes 2023 natures'!#REF!/'4.1 Comptes 2023 natures'!S3</f>
        <v>#REF!</v>
      </c>
      <c r="T168" s="13" t="e">
        <f>'4.1 Comptes 2023 natures'!#REF!/'4.1 Comptes 2023 natures'!T3</f>
        <v>#REF!</v>
      </c>
      <c r="U168" s="13" t="e">
        <f>'4.1 Comptes 2023 natures'!#REF!/'4.1 Comptes 2023 natures'!U3</f>
        <v>#REF!</v>
      </c>
      <c r="V168" s="13" t="e">
        <f>'4.1 Comptes 2023 natures'!#REF!/'4.1 Comptes 2023 natures'!V3</f>
        <v>#REF!</v>
      </c>
      <c r="W168" s="13" t="e">
        <f>'4.1 Comptes 2023 natures'!#REF!/'4.1 Comptes 2023 natures'!W3</f>
        <v>#REF!</v>
      </c>
      <c r="X168" s="13" t="e">
        <f>'4.1 Comptes 2023 natures'!#REF!/'4.1 Comptes 2023 natures'!X3</f>
        <v>#REF!</v>
      </c>
      <c r="Y168" s="13" t="e">
        <f>'4.1 Comptes 2023 natures'!#REF!/'4.1 Comptes 2023 natures'!Y3</f>
        <v>#REF!</v>
      </c>
      <c r="Z168" s="13" t="e">
        <f>'4.1 Comptes 2023 natures'!#REF!/'4.1 Comptes 2023 natures'!Z3</f>
        <v>#REF!</v>
      </c>
      <c r="AA168" s="13" t="e">
        <f>'4.1 Comptes 2023 natures'!#REF!/'4.1 Comptes 2023 natures'!AA3</f>
        <v>#REF!</v>
      </c>
      <c r="AB168" s="13" t="e">
        <f>'4.1 Comptes 2023 natures'!#REF!/'4.1 Comptes 2023 natures'!AB3</f>
        <v>#REF!</v>
      </c>
      <c r="AC168" s="13" t="e">
        <f>'4.1 Comptes 2023 natures'!#REF!/'4.1 Comptes 2023 natures'!AC3</f>
        <v>#REF!</v>
      </c>
      <c r="AD168" s="13" t="e">
        <f>'4.1 Comptes 2023 natures'!#REF!/'4.1 Comptes 2023 natures'!AD3</f>
        <v>#REF!</v>
      </c>
      <c r="AE168" s="13" t="e">
        <f>'4.1 Comptes 2023 natures'!#REF!/'4.1 Comptes 2023 natures'!AE3</f>
        <v>#REF!</v>
      </c>
      <c r="AF168" s="13" t="e">
        <f>'4.1 Comptes 2023 natures'!#REF!/'4.1 Comptes 2023 natures'!AF3</f>
        <v>#REF!</v>
      </c>
      <c r="AG168" s="13" t="e">
        <f>'4.1 Comptes 2023 natures'!#REF!/'4.1 Comptes 2023 natures'!AG3</f>
        <v>#REF!</v>
      </c>
      <c r="AH168" s="13" t="e">
        <f>'4.1 Comptes 2023 natures'!#REF!/'4.1 Comptes 2023 natures'!AH3</f>
        <v>#REF!</v>
      </c>
      <c r="AI168" s="13" t="e">
        <f>'4.1 Comptes 2023 natures'!#REF!/'4.1 Comptes 2023 natures'!AI3</f>
        <v>#REF!</v>
      </c>
      <c r="AJ168" s="13" t="e">
        <f>'4.1 Comptes 2023 natures'!#REF!/'4.1 Comptes 2023 natures'!AJ3</f>
        <v>#REF!</v>
      </c>
      <c r="AK168" s="13" t="e">
        <f>'4.1 Comptes 2023 natures'!#REF!/'4.1 Comptes 2023 natures'!AK3</f>
        <v>#REF!</v>
      </c>
      <c r="AL168" s="13" t="e">
        <f>'4.1 Comptes 2023 natures'!#REF!/'4.1 Comptes 2023 natures'!AL3</f>
        <v>#REF!</v>
      </c>
      <c r="AM168" s="13" t="e">
        <f>'4.1 Comptes 2023 natures'!#REF!/'4.1 Comptes 2023 natures'!AM3</f>
        <v>#REF!</v>
      </c>
      <c r="AN168" s="13" t="e">
        <f>'4.1 Comptes 2023 natures'!#REF!/'4.1 Comptes 2023 natures'!AN3</f>
        <v>#REF!</v>
      </c>
      <c r="AO168" s="13" t="e">
        <f>'4.1 Comptes 2023 natures'!#REF!/'4.1 Comptes 2023 natures'!AO3</f>
        <v>#REF!</v>
      </c>
      <c r="AP168" s="13" t="e">
        <f>'4.1 Comptes 2023 natures'!#REF!/'4.1 Comptes 2023 natures'!AP3</f>
        <v>#REF!</v>
      </c>
      <c r="AQ168" s="13" t="e">
        <f>'4.1 Comptes 2023 natures'!#REF!/'4.1 Comptes 2023 natures'!AQ3</f>
        <v>#REF!</v>
      </c>
      <c r="AR168" s="13" t="e">
        <f>'4.1 Comptes 2023 natures'!#REF!/'4.1 Comptes 2023 natures'!AR3</f>
        <v>#REF!</v>
      </c>
      <c r="AS168" s="13" t="e">
        <f>'4.1 Comptes 2023 natures'!#REF!/'4.1 Comptes 2023 natures'!AS3</f>
        <v>#REF!</v>
      </c>
      <c r="AT168" s="13" t="e">
        <f>'4.1 Comptes 2023 natures'!#REF!/'4.1 Comptes 2023 natures'!AT3</f>
        <v>#REF!</v>
      </c>
      <c r="AU168" s="13" t="e">
        <f>'4.1 Comptes 2023 natures'!#REF!/'4.1 Comptes 2023 natures'!AU3</f>
        <v>#REF!</v>
      </c>
      <c r="AV168" s="13" t="e">
        <f>'4.1 Comptes 2023 natures'!#REF!/'4.1 Comptes 2023 natures'!AV3</f>
        <v>#REF!</v>
      </c>
      <c r="AW168" s="13" t="e">
        <f>'4.1 Comptes 2023 natures'!#REF!/'4.1 Comptes 2023 natures'!AW3</f>
        <v>#REF!</v>
      </c>
      <c r="AX168" s="13" t="e">
        <f>'4.1 Comptes 2023 natures'!#REF!/'4.1 Comptes 2023 natures'!AX3</f>
        <v>#REF!</v>
      </c>
      <c r="AY168" s="13" t="e">
        <f>'4.1 Comptes 2023 natures'!#REF!/'4.1 Comptes 2023 natures'!AY3</f>
        <v>#REF!</v>
      </c>
      <c r="AZ168" s="13" t="e">
        <f>'4.1 Comptes 2023 natures'!#REF!/'4.1 Comptes 2023 natures'!AZ3</f>
        <v>#REF!</v>
      </c>
      <c r="BA168" s="13" t="e">
        <f>'4.1 Comptes 2023 natures'!#REF!/'4.1 Comptes 2023 natures'!BA3</f>
        <v>#REF!</v>
      </c>
      <c r="BB168" s="13" t="e">
        <f>'4.1 Comptes 2023 natures'!#REF!/'4.1 Comptes 2023 natures'!BB3</f>
        <v>#REF!</v>
      </c>
      <c r="BC168" s="13" t="e">
        <f>'4.1 Comptes 2023 natures'!#REF!/'4.1 Comptes 2023 natures'!BC3</f>
        <v>#REF!</v>
      </c>
      <c r="BD168" s="13" t="e">
        <f t="shared" si="29"/>
        <v>#REF!</v>
      </c>
      <c r="BE168" s="13" t="e">
        <f t="shared" si="30"/>
        <v>#REF!</v>
      </c>
      <c r="BF168" s="13" t="e">
        <f t="shared" si="31"/>
        <v>#REF!</v>
      </c>
      <c r="BG168" s="13" t="e">
        <f t="shared" si="32"/>
        <v>#REF!</v>
      </c>
    </row>
    <row r="169" spans="3:59" x14ac:dyDescent="0.2">
      <c r="C169" s="8">
        <v>4896</v>
      </c>
      <c r="D169" s="8" t="s">
        <v>269</v>
      </c>
      <c r="E169" s="13" t="e">
        <f>'4.1 Comptes 2023 natures'!#REF!/'4.1 Comptes 2023 natures'!E3</f>
        <v>#REF!</v>
      </c>
      <c r="F169" s="13" t="e">
        <f>'4.1 Comptes 2023 natures'!#REF!/'4.1 Comptes 2023 natures'!F3</f>
        <v>#REF!</v>
      </c>
      <c r="G169" s="13" t="e">
        <f>'4.1 Comptes 2023 natures'!#REF!/'4.1 Comptes 2023 natures'!G3</f>
        <v>#REF!</v>
      </c>
      <c r="H169" s="13" t="e">
        <f>'4.1 Comptes 2023 natures'!#REF!/'4.1 Comptes 2023 natures'!H3</f>
        <v>#REF!</v>
      </c>
      <c r="I169" s="13" t="e">
        <f>'4.1 Comptes 2023 natures'!#REF!/'4.1 Comptes 2023 natures'!I3</f>
        <v>#REF!</v>
      </c>
      <c r="J169" s="13" t="e">
        <f>'4.1 Comptes 2023 natures'!#REF!/'4.1 Comptes 2023 natures'!J3</f>
        <v>#REF!</v>
      </c>
      <c r="K169" s="13" t="e">
        <f>'4.1 Comptes 2023 natures'!#REF!/'4.1 Comptes 2023 natures'!K3</f>
        <v>#REF!</v>
      </c>
      <c r="L169" s="13" t="e">
        <f>'4.1 Comptes 2023 natures'!#REF!/'4.1 Comptes 2023 natures'!L3</f>
        <v>#REF!</v>
      </c>
      <c r="M169" s="13" t="e">
        <f>'4.1 Comptes 2023 natures'!#REF!/'4.1 Comptes 2023 natures'!M3</f>
        <v>#REF!</v>
      </c>
      <c r="N169" s="13" t="e">
        <f>'4.1 Comptes 2023 natures'!#REF!/'4.1 Comptes 2023 natures'!N3</f>
        <v>#REF!</v>
      </c>
      <c r="O169" s="13" t="e">
        <f>'4.1 Comptes 2023 natures'!#REF!/'4.1 Comptes 2023 natures'!O3</f>
        <v>#REF!</v>
      </c>
      <c r="P169" s="13" t="e">
        <f>'4.1 Comptes 2023 natures'!#REF!/'4.1 Comptes 2023 natures'!P3</f>
        <v>#REF!</v>
      </c>
      <c r="Q169" s="13" t="e">
        <f>'4.1 Comptes 2023 natures'!#REF!/'4.1 Comptes 2023 natures'!Q3</f>
        <v>#REF!</v>
      </c>
      <c r="R169" s="13" t="e">
        <f>'4.1 Comptes 2023 natures'!#REF!/'4.1 Comptes 2023 natures'!R3</f>
        <v>#REF!</v>
      </c>
      <c r="S169" s="13" t="e">
        <f>'4.1 Comptes 2023 natures'!#REF!/'4.1 Comptes 2023 natures'!S3</f>
        <v>#REF!</v>
      </c>
      <c r="T169" s="13" t="e">
        <f>'4.1 Comptes 2023 natures'!#REF!/'4.1 Comptes 2023 natures'!T3</f>
        <v>#REF!</v>
      </c>
      <c r="U169" s="13" t="e">
        <f>'4.1 Comptes 2023 natures'!#REF!/'4.1 Comptes 2023 natures'!U3</f>
        <v>#REF!</v>
      </c>
      <c r="V169" s="13" t="e">
        <f>'4.1 Comptes 2023 natures'!#REF!/'4.1 Comptes 2023 natures'!V3</f>
        <v>#REF!</v>
      </c>
      <c r="W169" s="13" t="e">
        <f>'4.1 Comptes 2023 natures'!#REF!/'4.1 Comptes 2023 natures'!W3</f>
        <v>#REF!</v>
      </c>
      <c r="X169" s="13" t="e">
        <f>'4.1 Comptes 2023 natures'!#REF!/'4.1 Comptes 2023 natures'!X3</f>
        <v>#REF!</v>
      </c>
      <c r="Y169" s="13" t="e">
        <f>'4.1 Comptes 2023 natures'!#REF!/'4.1 Comptes 2023 natures'!Y3</f>
        <v>#REF!</v>
      </c>
      <c r="Z169" s="13" t="e">
        <f>'4.1 Comptes 2023 natures'!#REF!/'4.1 Comptes 2023 natures'!Z3</f>
        <v>#REF!</v>
      </c>
      <c r="AA169" s="13" t="e">
        <f>'4.1 Comptes 2023 natures'!#REF!/'4.1 Comptes 2023 natures'!AA3</f>
        <v>#REF!</v>
      </c>
      <c r="AB169" s="13" t="e">
        <f>'4.1 Comptes 2023 natures'!#REF!/'4.1 Comptes 2023 natures'!AB3</f>
        <v>#REF!</v>
      </c>
      <c r="AC169" s="13" t="e">
        <f>'4.1 Comptes 2023 natures'!#REF!/'4.1 Comptes 2023 natures'!AC3</f>
        <v>#REF!</v>
      </c>
      <c r="AD169" s="13" t="e">
        <f>'4.1 Comptes 2023 natures'!#REF!/'4.1 Comptes 2023 natures'!AD3</f>
        <v>#REF!</v>
      </c>
      <c r="AE169" s="13" t="e">
        <f>'4.1 Comptes 2023 natures'!#REF!/'4.1 Comptes 2023 natures'!AE3</f>
        <v>#REF!</v>
      </c>
      <c r="AF169" s="13" t="e">
        <f>'4.1 Comptes 2023 natures'!#REF!/'4.1 Comptes 2023 natures'!AF3</f>
        <v>#REF!</v>
      </c>
      <c r="AG169" s="13" t="e">
        <f>'4.1 Comptes 2023 natures'!#REF!/'4.1 Comptes 2023 natures'!AG3</f>
        <v>#REF!</v>
      </c>
      <c r="AH169" s="13" t="e">
        <f>'4.1 Comptes 2023 natures'!#REF!/'4.1 Comptes 2023 natures'!AH3</f>
        <v>#REF!</v>
      </c>
      <c r="AI169" s="13" t="e">
        <f>'4.1 Comptes 2023 natures'!#REF!/'4.1 Comptes 2023 natures'!AI3</f>
        <v>#REF!</v>
      </c>
      <c r="AJ169" s="13" t="e">
        <f>'4.1 Comptes 2023 natures'!#REF!/'4.1 Comptes 2023 natures'!AJ3</f>
        <v>#REF!</v>
      </c>
      <c r="AK169" s="13" t="e">
        <f>'4.1 Comptes 2023 natures'!#REF!/'4.1 Comptes 2023 natures'!AK3</f>
        <v>#REF!</v>
      </c>
      <c r="AL169" s="13" t="e">
        <f>'4.1 Comptes 2023 natures'!#REF!/'4.1 Comptes 2023 natures'!AL3</f>
        <v>#REF!</v>
      </c>
      <c r="AM169" s="13" t="e">
        <f>'4.1 Comptes 2023 natures'!#REF!/'4.1 Comptes 2023 natures'!AM3</f>
        <v>#REF!</v>
      </c>
      <c r="AN169" s="13" t="e">
        <f>'4.1 Comptes 2023 natures'!#REF!/'4.1 Comptes 2023 natures'!AN3</f>
        <v>#REF!</v>
      </c>
      <c r="AO169" s="13" t="e">
        <f>'4.1 Comptes 2023 natures'!#REF!/'4.1 Comptes 2023 natures'!AO3</f>
        <v>#REF!</v>
      </c>
      <c r="AP169" s="13" t="e">
        <f>'4.1 Comptes 2023 natures'!#REF!/'4.1 Comptes 2023 natures'!AP3</f>
        <v>#REF!</v>
      </c>
      <c r="AQ169" s="13" t="e">
        <f>'4.1 Comptes 2023 natures'!#REF!/'4.1 Comptes 2023 natures'!AQ3</f>
        <v>#REF!</v>
      </c>
      <c r="AR169" s="13" t="e">
        <f>'4.1 Comptes 2023 natures'!#REF!/'4.1 Comptes 2023 natures'!AR3</f>
        <v>#REF!</v>
      </c>
      <c r="AS169" s="13" t="e">
        <f>'4.1 Comptes 2023 natures'!#REF!/'4.1 Comptes 2023 natures'!AS3</f>
        <v>#REF!</v>
      </c>
      <c r="AT169" s="13" t="e">
        <f>'4.1 Comptes 2023 natures'!#REF!/'4.1 Comptes 2023 natures'!AT3</f>
        <v>#REF!</v>
      </c>
      <c r="AU169" s="13" t="e">
        <f>'4.1 Comptes 2023 natures'!#REF!/'4.1 Comptes 2023 natures'!AU3</f>
        <v>#REF!</v>
      </c>
      <c r="AV169" s="13" t="e">
        <f>'4.1 Comptes 2023 natures'!#REF!/'4.1 Comptes 2023 natures'!AV3</f>
        <v>#REF!</v>
      </c>
      <c r="AW169" s="13" t="e">
        <f>'4.1 Comptes 2023 natures'!#REF!/'4.1 Comptes 2023 natures'!AW3</f>
        <v>#REF!</v>
      </c>
      <c r="AX169" s="13" t="e">
        <f>'4.1 Comptes 2023 natures'!#REF!/'4.1 Comptes 2023 natures'!AX3</f>
        <v>#REF!</v>
      </c>
      <c r="AY169" s="13" t="e">
        <f>'4.1 Comptes 2023 natures'!#REF!/'4.1 Comptes 2023 natures'!AY3</f>
        <v>#REF!</v>
      </c>
      <c r="AZ169" s="13" t="e">
        <f>'4.1 Comptes 2023 natures'!#REF!/'4.1 Comptes 2023 natures'!AZ3</f>
        <v>#REF!</v>
      </c>
      <c r="BA169" s="13" t="e">
        <f>'4.1 Comptes 2023 natures'!#REF!/'4.1 Comptes 2023 natures'!BA3</f>
        <v>#REF!</v>
      </c>
      <c r="BB169" s="13" t="e">
        <f>'4.1 Comptes 2023 natures'!#REF!/'4.1 Comptes 2023 natures'!BB3</f>
        <v>#REF!</v>
      </c>
      <c r="BC169" s="13" t="e">
        <f>'4.1 Comptes 2023 natures'!#REF!/'4.1 Comptes 2023 natures'!BC3</f>
        <v>#REF!</v>
      </c>
      <c r="BD169" s="13" t="e">
        <f t="shared" si="29"/>
        <v>#REF!</v>
      </c>
      <c r="BE169" s="13" t="e">
        <f t="shared" si="30"/>
        <v>#REF!</v>
      </c>
      <c r="BF169" s="13" t="e">
        <f t="shared" si="31"/>
        <v>#REF!</v>
      </c>
      <c r="BG169" s="13" t="e">
        <f t="shared" si="32"/>
        <v>#REF!</v>
      </c>
    </row>
    <row r="170" spans="3:59" x14ac:dyDescent="0.2">
      <c r="C170" s="8">
        <v>9000</v>
      </c>
      <c r="D170" s="8" t="s">
        <v>266</v>
      </c>
      <c r="E170" s="13" t="e">
        <f>'4.1 Comptes 2023 natures'!#REF!/'4.1 Comptes 2023 natures'!E3</f>
        <v>#REF!</v>
      </c>
      <c r="F170" s="13" t="e">
        <f>'4.1 Comptes 2023 natures'!#REF!/'4.1 Comptes 2023 natures'!F3</f>
        <v>#REF!</v>
      </c>
      <c r="G170" s="13" t="e">
        <f>'4.1 Comptes 2023 natures'!#REF!/'4.1 Comptes 2023 natures'!G3</f>
        <v>#REF!</v>
      </c>
      <c r="H170" s="13" t="e">
        <f>'4.1 Comptes 2023 natures'!#REF!/'4.1 Comptes 2023 natures'!H3</f>
        <v>#REF!</v>
      </c>
      <c r="I170" s="13" t="e">
        <f>'4.1 Comptes 2023 natures'!#REF!/'4.1 Comptes 2023 natures'!I3</f>
        <v>#REF!</v>
      </c>
      <c r="J170" s="13" t="e">
        <f>'4.1 Comptes 2023 natures'!#REF!/'4.1 Comptes 2023 natures'!J3</f>
        <v>#REF!</v>
      </c>
      <c r="K170" s="13" t="e">
        <f>'4.1 Comptes 2023 natures'!#REF!/'4.1 Comptes 2023 natures'!K3</f>
        <v>#REF!</v>
      </c>
      <c r="L170" s="13" t="e">
        <f>'4.1 Comptes 2023 natures'!#REF!/'4.1 Comptes 2023 natures'!L3</f>
        <v>#REF!</v>
      </c>
      <c r="M170" s="13" t="e">
        <f>'4.1 Comptes 2023 natures'!#REF!/'4.1 Comptes 2023 natures'!M3</f>
        <v>#REF!</v>
      </c>
      <c r="N170" s="13" t="e">
        <f>'4.1 Comptes 2023 natures'!#REF!/'4.1 Comptes 2023 natures'!N3</f>
        <v>#REF!</v>
      </c>
      <c r="O170" s="13" t="e">
        <f>'4.1 Comptes 2023 natures'!#REF!/'4.1 Comptes 2023 natures'!O3</f>
        <v>#REF!</v>
      </c>
      <c r="P170" s="13" t="e">
        <f>'4.1 Comptes 2023 natures'!#REF!/'4.1 Comptes 2023 natures'!P3</f>
        <v>#REF!</v>
      </c>
      <c r="Q170" s="13" t="e">
        <f>'4.1 Comptes 2023 natures'!#REF!/'4.1 Comptes 2023 natures'!Q3</f>
        <v>#REF!</v>
      </c>
      <c r="R170" s="13" t="e">
        <f>'4.1 Comptes 2023 natures'!#REF!/'4.1 Comptes 2023 natures'!R3</f>
        <v>#REF!</v>
      </c>
      <c r="S170" s="13" t="e">
        <f>'4.1 Comptes 2023 natures'!#REF!/'4.1 Comptes 2023 natures'!S3</f>
        <v>#REF!</v>
      </c>
      <c r="T170" s="13" t="e">
        <f>'4.1 Comptes 2023 natures'!#REF!/'4.1 Comptes 2023 natures'!T3</f>
        <v>#REF!</v>
      </c>
      <c r="U170" s="13" t="e">
        <f>'4.1 Comptes 2023 natures'!#REF!/'4.1 Comptes 2023 natures'!U3</f>
        <v>#REF!</v>
      </c>
      <c r="V170" s="13" t="e">
        <f>'4.1 Comptes 2023 natures'!#REF!/'4.1 Comptes 2023 natures'!V3</f>
        <v>#REF!</v>
      </c>
      <c r="W170" s="13" t="e">
        <f>'4.1 Comptes 2023 natures'!#REF!/'4.1 Comptes 2023 natures'!W3</f>
        <v>#REF!</v>
      </c>
      <c r="X170" s="13" t="e">
        <f>'4.1 Comptes 2023 natures'!#REF!/'4.1 Comptes 2023 natures'!X3</f>
        <v>#REF!</v>
      </c>
      <c r="Y170" s="13" t="e">
        <f>'4.1 Comptes 2023 natures'!#REF!/'4.1 Comptes 2023 natures'!Y3</f>
        <v>#REF!</v>
      </c>
      <c r="Z170" s="13" t="e">
        <f>'4.1 Comptes 2023 natures'!#REF!/'4.1 Comptes 2023 natures'!Z3</f>
        <v>#REF!</v>
      </c>
      <c r="AA170" s="13" t="e">
        <f>'4.1 Comptes 2023 natures'!#REF!/'4.1 Comptes 2023 natures'!AA3</f>
        <v>#REF!</v>
      </c>
      <c r="AB170" s="13" t="e">
        <f>'4.1 Comptes 2023 natures'!#REF!/'4.1 Comptes 2023 natures'!AB3</f>
        <v>#REF!</v>
      </c>
      <c r="AC170" s="13" t="e">
        <f>'4.1 Comptes 2023 natures'!#REF!/'4.1 Comptes 2023 natures'!AC3</f>
        <v>#REF!</v>
      </c>
      <c r="AD170" s="13" t="e">
        <f>'4.1 Comptes 2023 natures'!#REF!/'4.1 Comptes 2023 natures'!AD3</f>
        <v>#REF!</v>
      </c>
      <c r="AE170" s="13" t="e">
        <f>'4.1 Comptes 2023 natures'!#REF!/'4.1 Comptes 2023 natures'!AE3</f>
        <v>#REF!</v>
      </c>
      <c r="AF170" s="13" t="e">
        <f>'4.1 Comptes 2023 natures'!#REF!/'4.1 Comptes 2023 natures'!AF3</f>
        <v>#REF!</v>
      </c>
      <c r="AG170" s="13" t="e">
        <f>'4.1 Comptes 2023 natures'!#REF!/'4.1 Comptes 2023 natures'!AG3</f>
        <v>#REF!</v>
      </c>
      <c r="AH170" s="13" t="e">
        <f>'4.1 Comptes 2023 natures'!#REF!/'4.1 Comptes 2023 natures'!AH3</f>
        <v>#REF!</v>
      </c>
      <c r="AI170" s="13" t="e">
        <f>'4.1 Comptes 2023 natures'!#REF!/'4.1 Comptes 2023 natures'!AI3</f>
        <v>#REF!</v>
      </c>
      <c r="AJ170" s="13" t="e">
        <f>'4.1 Comptes 2023 natures'!#REF!/'4.1 Comptes 2023 natures'!AJ3</f>
        <v>#REF!</v>
      </c>
      <c r="AK170" s="13" t="e">
        <f>'4.1 Comptes 2023 natures'!#REF!/'4.1 Comptes 2023 natures'!AK3</f>
        <v>#REF!</v>
      </c>
      <c r="AL170" s="13" t="e">
        <f>'4.1 Comptes 2023 natures'!#REF!/'4.1 Comptes 2023 natures'!AL3</f>
        <v>#REF!</v>
      </c>
      <c r="AM170" s="13" t="e">
        <f>'4.1 Comptes 2023 natures'!#REF!/'4.1 Comptes 2023 natures'!AM3</f>
        <v>#REF!</v>
      </c>
      <c r="AN170" s="13" t="e">
        <f>'4.1 Comptes 2023 natures'!#REF!/'4.1 Comptes 2023 natures'!AN3</f>
        <v>#REF!</v>
      </c>
      <c r="AO170" s="13" t="e">
        <f>'4.1 Comptes 2023 natures'!#REF!/'4.1 Comptes 2023 natures'!AO3</f>
        <v>#REF!</v>
      </c>
      <c r="AP170" s="13" t="e">
        <f>'4.1 Comptes 2023 natures'!#REF!/'4.1 Comptes 2023 natures'!AP3</f>
        <v>#REF!</v>
      </c>
      <c r="AQ170" s="13" t="e">
        <f>'4.1 Comptes 2023 natures'!#REF!/'4.1 Comptes 2023 natures'!AQ3</f>
        <v>#REF!</v>
      </c>
      <c r="AR170" s="13" t="e">
        <f>'4.1 Comptes 2023 natures'!#REF!/'4.1 Comptes 2023 natures'!AR3</f>
        <v>#REF!</v>
      </c>
      <c r="AS170" s="13" t="e">
        <f>'4.1 Comptes 2023 natures'!#REF!/'4.1 Comptes 2023 natures'!AS3</f>
        <v>#REF!</v>
      </c>
      <c r="AT170" s="13" t="e">
        <f>'4.1 Comptes 2023 natures'!#REF!/'4.1 Comptes 2023 natures'!AT3</f>
        <v>#REF!</v>
      </c>
      <c r="AU170" s="13" t="e">
        <f>'4.1 Comptes 2023 natures'!#REF!/'4.1 Comptes 2023 natures'!AU3</f>
        <v>#REF!</v>
      </c>
      <c r="AV170" s="13" t="e">
        <f>'4.1 Comptes 2023 natures'!#REF!/'4.1 Comptes 2023 natures'!AV3</f>
        <v>#REF!</v>
      </c>
      <c r="AW170" s="13" t="e">
        <f>'4.1 Comptes 2023 natures'!#REF!/'4.1 Comptes 2023 natures'!AW3</f>
        <v>#REF!</v>
      </c>
      <c r="AX170" s="13" t="e">
        <f>'4.1 Comptes 2023 natures'!#REF!/'4.1 Comptes 2023 natures'!AX3</f>
        <v>#REF!</v>
      </c>
      <c r="AY170" s="13" t="e">
        <f>'4.1 Comptes 2023 natures'!#REF!/'4.1 Comptes 2023 natures'!AY3</f>
        <v>#REF!</v>
      </c>
      <c r="AZ170" s="13" t="e">
        <f>'4.1 Comptes 2023 natures'!#REF!/'4.1 Comptes 2023 natures'!AZ3</f>
        <v>#REF!</v>
      </c>
      <c r="BA170" s="13" t="e">
        <f>'4.1 Comptes 2023 natures'!#REF!/'4.1 Comptes 2023 natures'!BA3</f>
        <v>#REF!</v>
      </c>
      <c r="BB170" s="13" t="e">
        <f>'4.1 Comptes 2023 natures'!#REF!/'4.1 Comptes 2023 natures'!BB3</f>
        <v>#REF!</v>
      </c>
      <c r="BC170" s="13" t="e">
        <f>'4.1 Comptes 2023 natures'!#REF!/'4.1 Comptes 2023 natures'!BC3</f>
        <v>#REF!</v>
      </c>
      <c r="BD170" s="13" t="e">
        <f t="shared" si="29"/>
        <v>#REF!</v>
      </c>
      <c r="BE170" s="13" t="e">
        <f t="shared" si="30"/>
        <v>#REF!</v>
      </c>
      <c r="BF170" s="13" t="e">
        <f t="shared" si="31"/>
        <v>#REF!</v>
      </c>
      <c r="BG170" s="13" t="e">
        <f t="shared" si="32"/>
        <v>#REF!</v>
      </c>
    </row>
    <row r="171" spans="3:59" x14ac:dyDescent="0.2">
      <c r="C171" s="8">
        <v>9029</v>
      </c>
      <c r="D171" s="8" t="s">
        <v>270</v>
      </c>
      <c r="E171" s="13" t="e">
        <f>'4.1 Comptes 2023 natures'!#REF!/'4.1 Comptes 2023 natures'!E3</f>
        <v>#REF!</v>
      </c>
      <c r="F171" s="13" t="e">
        <f>'4.1 Comptes 2023 natures'!#REF!/'4.1 Comptes 2023 natures'!F3</f>
        <v>#REF!</v>
      </c>
      <c r="G171" s="13" t="e">
        <f>'4.1 Comptes 2023 natures'!#REF!/'4.1 Comptes 2023 natures'!G3</f>
        <v>#REF!</v>
      </c>
      <c r="H171" s="13" t="e">
        <f>'4.1 Comptes 2023 natures'!#REF!/'4.1 Comptes 2023 natures'!H3</f>
        <v>#REF!</v>
      </c>
      <c r="I171" s="13" t="e">
        <f>'4.1 Comptes 2023 natures'!#REF!/'4.1 Comptes 2023 natures'!I3</f>
        <v>#REF!</v>
      </c>
      <c r="J171" s="13" t="e">
        <f>'4.1 Comptes 2023 natures'!#REF!/'4.1 Comptes 2023 natures'!J3</f>
        <v>#REF!</v>
      </c>
      <c r="K171" s="13" t="e">
        <f>'4.1 Comptes 2023 natures'!#REF!/'4.1 Comptes 2023 natures'!K3</f>
        <v>#REF!</v>
      </c>
      <c r="L171" s="13" t="e">
        <f>'4.1 Comptes 2023 natures'!#REF!/'4.1 Comptes 2023 natures'!L3</f>
        <v>#REF!</v>
      </c>
      <c r="M171" s="13" t="e">
        <f>'4.1 Comptes 2023 natures'!#REF!/'4.1 Comptes 2023 natures'!M3</f>
        <v>#REF!</v>
      </c>
      <c r="N171" s="13" t="e">
        <f>'4.1 Comptes 2023 natures'!#REF!/'4.1 Comptes 2023 natures'!N3</f>
        <v>#REF!</v>
      </c>
      <c r="O171" s="13" t="e">
        <f>'4.1 Comptes 2023 natures'!#REF!/'4.1 Comptes 2023 natures'!O3</f>
        <v>#REF!</v>
      </c>
      <c r="P171" s="13" t="e">
        <f>'4.1 Comptes 2023 natures'!#REF!/'4.1 Comptes 2023 natures'!P3</f>
        <v>#REF!</v>
      </c>
      <c r="Q171" s="13" t="e">
        <f>'4.1 Comptes 2023 natures'!#REF!/'4.1 Comptes 2023 natures'!Q3</f>
        <v>#REF!</v>
      </c>
      <c r="R171" s="13" t="e">
        <f>'4.1 Comptes 2023 natures'!#REF!/'4.1 Comptes 2023 natures'!R3</f>
        <v>#REF!</v>
      </c>
      <c r="S171" s="13" t="e">
        <f>'4.1 Comptes 2023 natures'!#REF!/'4.1 Comptes 2023 natures'!S3</f>
        <v>#REF!</v>
      </c>
      <c r="T171" s="13" t="e">
        <f>'4.1 Comptes 2023 natures'!#REF!/'4.1 Comptes 2023 natures'!T3</f>
        <v>#REF!</v>
      </c>
      <c r="U171" s="13" t="e">
        <f>'4.1 Comptes 2023 natures'!#REF!/'4.1 Comptes 2023 natures'!U3</f>
        <v>#REF!</v>
      </c>
      <c r="V171" s="13" t="e">
        <f>'4.1 Comptes 2023 natures'!#REF!/'4.1 Comptes 2023 natures'!V3</f>
        <v>#REF!</v>
      </c>
      <c r="W171" s="13" t="e">
        <f>'4.1 Comptes 2023 natures'!#REF!/'4.1 Comptes 2023 natures'!W3</f>
        <v>#REF!</v>
      </c>
      <c r="X171" s="13" t="e">
        <f>'4.1 Comptes 2023 natures'!#REF!/'4.1 Comptes 2023 natures'!X3</f>
        <v>#REF!</v>
      </c>
      <c r="Y171" s="13" t="e">
        <f>'4.1 Comptes 2023 natures'!#REF!/'4.1 Comptes 2023 natures'!Y3</f>
        <v>#REF!</v>
      </c>
      <c r="Z171" s="13" t="e">
        <f>'4.1 Comptes 2023 natures'!#REF!/'4.1 Comptes 2023 natures'!Z3</f>
        <v>#REF!</v>
      </c>
      <c r="AA171" s="13" t="e">
        <f>'4.1 Comptes 2023 natures'!#REF!/'4.1 Comptes 2023 natures'!AA3</f>
        <v>#REF!</v>
      </c>
      <c r="AB171" s="13" t="e">
        <f>'4.1 Comptes 2023 natures'!#REF!/'4.1 Comptes 2023 natures'!AB3</f>
        <v>#REF!</v>
      </c>
      <c r="AC171" s="13" t="e">
        <f>'4.1 Comptes 2023 natures'!#REF!/'4.1 Comptes 2023 natures'!AC3</f>
        <v>#REF!</v>
      </c>
      <c r="AD171" s="13" t="e">
        <f>'4.1 Comptes 2023 natures'!#REF!/'4.1 Comptes 2023 natures'!AD3</f>
        <v>#REF!</v>
      </c>
      <c r="AE171" s="13" t="e">
        <f>'4.1 Comptes 2023 natures'!#REF!/'4.1 Comptes 2023 natures'!AE3</f>
        <v>#REF!</v>
      </c>
      <c r="AF171" s="13" t="e">
        <f>'4.1 Comptes 2023 natures'!#REF!/'4.1 Comptes 2023 natures'!AF3</f>
        <v>#REF!</v>
      </c>
      <c r="AG171" s="13" t="e">
        <f>'4.1 Comptes 2023 natures'!#REF!/'4.1 Comptes 2023 natures'!AG3</f>
        <v>#REF!</v>
      </c>
      <c r="AH171" s="13" t="e">
        <f>'4.1 Comptes 2023 natures'!#REF!/'4.1 Comptes 2023 natures'!AH3</f>
        <v>#REF!</v>
      </c>
      <c r="AI171" s="13" t="e">
        <f>'4.1 Comptes 2023 natures'!#REF!/'4.1 Comptes 2023 natures'!AI3</f>
        <v>#REF!</v>
      </c>
      <c r="AJ171" s="13" t="e">
        <f>'4.1 Comptes 2023 natures'!#REF!/'4.1 Comptes 2023 natures'!AJ3</f>
        <v>#REF!</v>
      </c>
      <c r="AK171" s="13" t="e">
        <f>'4.1 Comptes 2023 natures'!#REF!/'4.1 Comptes 2023 natures'!AK3</f>
        <v>#REF!</v>
      </c>
      <c r="AL171" s="13" t="e">
        <f>'4.1 Comptes 2023 natures'!#REF!/'4.1 Comptes 2023 natures'!AL3</f>
        <v>#REF!</v>
      </c>
      <c r="AM171" s="13" t="e">
        <f>'4.1 Comptes 2023 natures'!#REF!/'4.1 Comptes 2023 natures'!AM3</f>
        <v>#REF!</v>
      </c>
      <c r="AN171" s="13" t="e">
        <f>'4.1 Comptes 2023 natures'!#REF!/'4.1 Comptes 2023 natures'!AN3</f>
        <v>#REF!</v>
      </c>
      <c r="AO171" s="13" t="e">
        <f>'4.1 Comptes 2023 natures'!#REF!/'4.1 Comptes 2023 natures'!AO3</f>
        <v>#REF!</v>
      </c>
      <c r="AP171" s="13" t="e">
        <f>'4.1 Comptes 2023 natures'!#REF!/'4.1 Comptes 2023 natures'!AP3</f>
        <v>#REF!</v>
      </c>
      <c r="AQ171" s="13" t="e">
        <f>'4.1 Comptes 2023 natures'!#REF!/'4.1 Comptes 2023 natures'!AQ3</f>
        <v>#REF!</v>
      </c>
      <c r="AR171" s="13" t="e">
        <f>'4.1 Comptes 2023 natures'!#REF!/'4.1 Comptes 2023 natures'!AR3</f>
        <v>#REF!</v>
      </c>
      <c r="AS171" s="13" t="e">
        <f>'4.1 Comptes 2023 natures'!#REF!/'4.1 Comptes 2023 natures'!AS3</f>
        <v>#REF!</v>
      </c>
      <c r="AT171" s="13" t="e">
        <f>'4.1 Comptes 2023 natures'!#REF!/'4.1 Comptes 2023 natures'!AT3</f>
        <v>#REF!</v>
      </c>
      <c r="AU171" s="13" t="e">
        <f>'4.1 Comptes 2023 natures'!#REF!/'4.1 Comptes 2023 natures'!AU3</f>
        <v>#REF!</v>
      </c>
      <c r="AV171" s="13" t="e">
        <f>'4.1 Comptes 2023 natures'!#REF!/'4.1 Comptes 2023 natures'!AV3</f>
        <v>#REF!</v>
      </c>
      <c r="AW171" s="13" t="e">
        <f>'4.1 Comptes 2023 natures'!#REF!/'4.1 Comptes 2023 natures'!AW3</f>
        <v>#REF!</v>
      </c>
      <c r="AX171" s="13" t="e">
        <f>'4.1 Comptes 2023 natures'!#REF!/'4.1 Comptes 2023 natures'!AX3</f>
        <v>#REF!</v>
      </c>
      <c r="AY171" s="13" t="e">
        <f>'4.1 Comptes 2023 natures'!#REF!/'4.1 Comptes 2023 natures'!AY3</f>
        <v>#REF!</v>
      </c>
      <c r="AZ171" s="13" t="e">
        <f>'4.1 Comptes 2023 natures'!#REF!/'4.1 Comptes 2023 natures'!AZ3</f>
        <v>#REF!</v>
      </c>
      <c r="BA171" s="13" t="e">
        <f>'4.1 Comptes 2023 natures'!#REF!/'4.1 Comptes 2023 natures'!BA3</f>
        <v>#REF!</v>
      </c>
      <c r="BB171" s="13" t="e">
        <f>'4.1 Comptes 2023 natures'!#REF!/'4.1 Comptes 2023 natures'!BB3</f>
        <v>#REF!</v>
      </c>
      <c r="BC171" s="13" t="e">
        <f>'4.1 Comptes 2023 natures'!#REF!/'4.1 Comptes 2023 natures'!BC3</f>
        <v>#REF!</v>
      </c>
      <c r="BD171" s="13" t="e">
        <f t="shared" si="29"/>
        <v>#REF!</v>
      </c>
      <c r="BE171" s="13" t="e">
        <f t="shared" si="30"/>
        <v>#REF!</v>
      </c>
      <c r="BF171" s="13" t="e">
        <f t="shared" si="31"/>
        <v>#REF!</v>
      </c>
      <c r="BG171" s="13" t="e">
        <f t="shared" si="32"/>
        <v>#REF!</v>
      </c>
    </row>
    <row r="172" spans="3:59" x14ac:dyDescent="0.2">
      <c r="C172" s="8">
        <v>3180</v>
      </c>
      <c r="D172" s="8" t="s">
        <v>292</v>
      </c>
      <c r="E172" s="13" t="e">
        <f>'4.1 Comptes 2023 natures'!#REF!/'4.1 Comptes 2023 natures'!E3</f>
        <v>#REF!</v>
      </c>
      <c r="F172" s="13" t="e">
        <f>'4.1 Comptes 2023 natures'!#REF!/'4.1 Comptes 2023 natures'!F3</f>
        <v>#REF!</v>
      </c>
      <c r="G172" s="13" t="e">
        <f>'4.1 Comptes 2023 natures'!#REF!/'4.1 Comptes 2023 natures'!G3</f>
        <v>#REF!</v>
      </c>
      <c r="H172" s="13" t="e">
        <f>'4.1 Comptes 2023 natures'!#REF!/'4.1 Comptes 2023 natures'!H3</f>
        <v>#REF!</v>
      </c>
      <c r="I172" s="13" t="e">
        <f>'4.1 Comptes 2023 natures'!#REF!/'4.1 Comptes 2023 natures'!I3</f>
        <v>#REF!</v>
      </c>
      <c r="J172" s="13" t="e">
        <f>'4.1 Comptes 2023 natures'!#REF!/'4.1 Comptes 2023 natures'!J3</f>
        <v>#REF!</v>
      </c>
      <c r="K172" s="13" t="e">
        <f>'4.1 Comptes 2023 natures'!#REF!/'4.1 Comptes 2023 natures'!K3</f>
        <v>#REF!</v>
      </c>
      <c r="L172" s="13" t="e">
        <f>'4.1 Comptes 2023 natures'!#REF!/'4.1 Comptes 2023 natures'!L3</f>
        <v>#REF!</v>
      </c>
      <c r="M172" s="13" t="e">
        <f>'4.1 Comptes 2023 natures'!#REF!/'4.1 Comptes 2023 natures'!M3</f>
        <v>#REF!</v>
      </c>
      <c r="N172" s="13" t="e">
        <f>'4.1 Comptes 2023 natures'!#REF!/'4.1 Comptes 2023 natures'!N3</f>
        <v>#REF!</v>
      </c>
      <c r="O172" s="13" t="e">
        <f>'4.1 Comptes 2023 natures'!#REF!/'4.1 Comptes 2023 natures'!O3</f>
        <v>#REF!</v>
      </c>
      <c r="P172" s="13" t="e">
        <f>'4.1 Comptes 2023 natures'!#REF!/'4.1 Comptes 2023 natures'!P3</f>
        <v>#REF!</v>
      </c>
      <c r="Q172" s="13" t="e">
        <f>'4.1 Comptes 2023 natures'!#REF!/'4.1 Comptes 2023 natures'!Q3</f>
        <v>#REF!</v>
      </c>
      <c r="R172" s="13" t="e">
        <f>'4.1 Comptes 2023 natures'!#REF!/'4.1 Comptes 2023 natures'!R3</f>
        <v>#REF!</v>
      </c>
      <c r="S172" s="13" t="e">
        <f>'4.1 Comptes 2023 natures'!#REF!/'4.1 Comptes 2023 natures'!S3</f>
        <v>#REF!</v>
      </c>
      <c r="T172" s="13" t="e">
        <f>'4.1 Comptes 2023 natures'!#REF!/'4.1 Comptes 2023 natures'!T3</f>
        <v>#REF!</v>
      </c>
      <c r="U172" s="13" t="e">
        <f>'4.1 Comptes 2023 natures'!#REF!/'4.1 Comptes 2023 natures'!U3</f>
        <v>#REF!</v>
      </c>
      <c r="V172" s="13" t="e">
        <f>'4.1 Comptes 2023 natures'!#REF!/'4.1 Comptes 2023 natures'!V3</f>
        <v>#REF!</v>
      </c>
      <c r="W172" s="13" t="e">
        <f>'4.1 Comptes 2023 natures'!#REF!/'4.1 Comptes 2023 natures'!W3</f>
        <v>#REF!</v>
      </c>
      <c r="X172" s="13" t="e">
        <f>'4.1 Comptes 2023 natures'!#REF!/'4.1 Comptes 2023 natures'!X3</f>
        <v>#REF!</v>
      </c>
      <c r="Y172" s="13" t="e">
        <f>'4.1 Comptes 2023 natures'!#REF!/'4.1 Comptes 2023 natures'!Y3</f>
        <v>#REF!</v>
      </c>
      <c r="Z172" s="13" t="e">
        <f>'4.1 Comptes 2023 natures'!#REF!/'4.1 Comptes 2023 natures'!Z3</f>
        <v>#REF!</v>
      </c>
      <c r="AA172" s="13" t="e">
        <f>'4.1 Comptes 2023 natures'!#REF!/'4.1 Comptes 2023 natures'!AA3</f>
        <v>#REF!</v>
      </c>
      <c r="AB172" s="13" t="e">
        <f>'4.1 Comptes 2023 natures'!#REF!/'4.1 Comptes 2023 natures'!AB3</f>
        <v>#REF!</v>
      </c>
      <c r="AC172" s="13" t="e">
        <f>'4.1 Comptes 2023 natures'!#REF!/'4.1 Comptes 2023 natures'!AC3</f>
        <v>#REF!</v>
      </c>
      <c r="AD172" s="13" t="e">
        <f>'4.1 Comptes 2023 natures'!#REF!/'4.1 Comptes 2023 natures'!AD3</f>
        <v>#REF!</v>
      </c>
      <c r="AE172" s="13" t="e">
        <f>'4.1 Comptes 2023 natures'!#REF!/'4.1 Comptes 2023 natures'!AE3</f>
        <v>#REF!</v>
      </c>
      <c r="AF172" s="13" t="e">
        <f>'4.1 Comptes 2023 natures'!#REF!/'4.1 Comptes 2023 natures'!AF3</f>
        <v>#REF!</v>
      </c>
      <c r="AG172" s="13" t="e">
        <f>'4.1 Comptes 2023 natures'!#REF!/'4.1 Comptes 2023 natures'!AG3</f>
        <v>#REF!</v>
      </c>
      <c r="AH172" s="13" t="e">
        <f>'4.1 Comptes 2023 natures'!#REF!/'4.1 Comptes 2023 natures'!AH3</f>
        <v>#REF!</v>
      </c>
      <c r="AI172" s="13" t="e">
        <f>'4.1 Comptes 2023 natures'!#REF!/'4.1 Comptes 2023 natures'!AI3</f>
        <v>#REF!</v>
      </c>
      <c r="AJ172" s="13" t="e">
        <f>'4.1 Comptes 2023 natures'!#REF!/'4.1 Comptes 2023 natures'!AJ3</f>
        <v>#REF!</v>
      </c>
      <c r="AK172" s="13" t="e">
        <f>'4.1 Comptes 2023 natures'!#REF!/'4.1 Comptes 2023 natures'!AK3</f>
        <v>#REF!</v>
      </c>
      <c r="AL172" s="13" t="e">
        <f>'4.1 Comptes 2023 natures'!#REF!/'4.1 Comptes 2023 natures'!AL3</f>
        <v>#REF!</v>
      </c>
      <c r="AM172" s="13" t="e">
        <f>'4.1 Comptes 2023 natures'!#REF!/'4.1 Comptes 2023 natures'!AM3</f>
        <v>#REF!</v>
      </c>
      <c r="AN172" s="13" t="e">
        <f>'4.1 Comptes 2023 natures'!#REF!/'4.1 Comptes 2023 natures'!AN3</f>
        <v>#REF!</v>
      </c>
      <c r="AO172" s="13" t="e">
        <f>'4.1 Comptes 2023 natures'!#REF!/'4.1 Comptes 2023 natures'!AO3</f>
        <v>#REF!</v>
      </c>
      <c r="AP172" s="13" t="e">
        <f>'4.1 Comptes 2023 natures'!#REF!/'4.1 Comptes 2023 natures'!AP3</f>
        <v>#REF!</v>
      </c>
      <c r="AQ172" s="13" t="e">
        <f>'4.1 Comptes 2023 natures'!#REF!/'4.1 Comptes 2023 natures'!AQ3</f>
        <v>#REF!</v>
      </c>
      <c r="AR172" s="13" t="e">
        <f>'4.1 Comptes 2023 natures'!#REF!/'4.1 Comptes 2023 natures'!AR3</f>
        <v>#REF!</v>
      </c>
      <c r="AS172" s="13" t="e">
        <f>'4.1 Comptes 2023 natures'!#REF!/'4.1 Comptes 2023 natures'!AS3</f>
        <v>#REF!</v>
      </c>
      <c r="AT172" s="13" t="e">
        <f>'4.1 Comptes 2023 natures'!#REF!/'4.1 Comptes 2023 natures'!AT3</f>
        <v>#REF!</v>
      </c>
      <c r="AU172" s="13" t="e">
        <f>'4.1 Comptes 2023 natures'!#REF!/'4.1 Comptes 2023 natures'!AU3</f>
        <v>#REF!</v>
      </c>
      <c r="AV172" s="13" t="e">
        <f>'4.1 Comptes 2023 natures'!#REF!/'4.1 Comptes 2023 natures'!AV3</f>
        <v>#REF!</v>
      </c>
      <c r="AW172" s="13" t="e">
        <f>'4.1 Comptes 2023 natures'!#REF!/'4.1 Comptes 2023 natures'!AW3</f>
        <v>#REF!</v>
      </c>
      <c r="AX172" s="13" t="e">
        <f>'4.1 Comptes 2023 natures'!#REF!/'4.1 Comptes 2023 natures'!AX3</f>
        <v>#REF!</v>
      </c>
      <c r="AY172" s="13" t="e">
        <f>'4.1 Comptes 2023 natures'!#REF!/'4.1 Comptes 2023 natures'!AY3</f>
        <v>#REF!</v>
      </c>
      <c r="AZ172" s="13" t="e">
        <f>'4.1 Comptes 2023 natures'!#REF!/'4.1 Comptes 2023 natures'!AZ3</f>
        <v>#REF!</v>
      </c>
      <c r="BA172" s="13" t="e">
        <f>'4.1 Comptes 2023 natures'!#REF!/'4.1 Comptes 2023 natures'!BA3</f>
        <v>#REF!</v>
      </c>
      <c r="BB172" s="13" t="e">
        <f>'4.1 Comptes 2023 natures'!#REF!/'4.1 Comptes 2023 natures'!BB3</f>
        <v>#REF!</v>
      </c>
      <c r="BC172" s="13" t="e">
        <f>'4.1 Comptes 2023 natures'!#REF!/'4.1 Comptes 2023 natures'!BC3</f>
        <v>#REF!</v>
      </c>
      <c r="BD172" s="13" t="e">
        <f t="shared" si="29"/>
        <v>#REF!</v>
      </c>
      <c r="BE172" s="13" t="e">
        <f t="shared" si="30"/>
        <v>#REF!</v>
      </c>
      <c r="BF172" s="13" t="e">
        <f t="shared" si="31"/>
        <v>#REF!</v>
      </c>
      <c r="BG172" s="13" t="e">
        <f t="shared" si="32"/>
        <v>#REF!</v>
      </c>
    </row>
    <row r="173" spans="3:59" x14ac:dyDescent="0.2">
      <c r="C173" s="8">
        <v>36227</v>
      </c>
      <c r="D173" s="8" t="s">
        <v>267</v>
      </c>
      <c r="E173" s="13" t="e">
        <f>'4.1 Comptes 2023 natures'!#REF!/'4.1 Comptes 2023 natures'!E3</f>
        <v>#REF!</v>
      </c>
      <c r="F173" s="13" t="e">
        <f>'4.1 Comptes 2023 natures'!#REF!/'4.1 Comptes 2023 natures'!F3</f>
        <v>#REF!</v>
      </c>
      <c r="G173" s="13" t="e">
        <f>'4.1 Comptes 2023 natures'!#REF!/'4.1 Comptes 2023 natures'!G3</f>
        <v>#REF!</v>
      </c>
      <c r="H173" s="13" t="e">
        <f>'4.1 Comptes 2023 natures'!#REF!/'4.1 Comptes 2023 natures'!H3</f>
        <v>#REF!</v>
      </c>
      <c r="I173" s="13" t="e">
        <f>'4.1 Comptes 2023 natures'!#REF!/'4.1 Comptes 2023 natures'!I3</f>
        <v>#REF!</v>
      </c>
      <c r="J173" s="13" t="e">
        <f>'4.1 Comptes 2023 natures'!#REF!/'4.1 Comptes 2023 natures'!J3</f>
        <v>#REF!</v>
      </c>
      <c r="K173" s="13" t="e">
        <f>'4.1 Comptes 2023 natures'!#REF!/'4.1 Comptes 2023 natures'!K3</f>
        <v>#REF!</v>
      </c>
      <c r="L173" s="13" t="e">
        <f>'4.1 Comptes 2023 natures'!#REF!/'4.1 Comptes 2023 natures'!L3</f>
        <v>#REF!</v>
      </c>
      <c r="M173" s="13" t="e">
        <f>'4.1 Comptes 2023 natures'!#REF!/'4.1 Comptes 2023 natures'!M3</f>
        <v>#REF!</v>
      </c>
      <c r="N173" s="13" t="e">
        <f>'4.1 Comptes 2023 natures'!#REF!/'4.1 Comptes 2023 natures'!N3</f>
        <v>#REF!</v>
      </c>
      <c r="O173" s="13" t="e">
        <f>'4.1 Comptes 2023 natures'!#REF!/'4.1 Comptes 2023 natures'!O3</f>
        <v>#REF!</v>
      </c>
      <c r="P173" s="13" t="e">
        <f>'4.1 Comptes 2023 natures'!#REF!/'4.1 Comptes 2023 natures'!P3</f>
        <v>#REF!</v>
      </c>
      <c r="Q173" s="13" t="e">
        <f>'4.1 Comptes 2023 natures'!#REF!/'4.1 Comptes 2023 natures'!Q3</f>
        <v>#REF!</v>
      </c>
      <c r="R173" s="13" t="e">
        <f>'4.1 Comptes 2023 natures'!#REF!/'4.1 Comptes 2023 natures'!R3</f>
        <v>#REF!</v>
      </c>
      <c r="S173" s="13" t="e">
        <f>'4.1 Comptes 2023 natures'!#REF!/'4.1 Comptes 2023 natures'!S3</f>
        <v>#REF!</v>
      </c>
      <c r="T173" s="13" t="e">
        <f>'4.1 Comptes 2023 natures'!#REF!/'4.1 Comptes 2023 natures'!T3</f>
        <v>#REF!</v>
      </c>
      <c r="U173" s="13" t="e">
        <f>'4.1 Comptes 2023 natures'!#REF!/'4.1 Comptes 2023 natures'!U3</f>
        <v>#REF!</v>
      </c>
      <c r="V173" s="13" t="e">
        <f>'4.1 Comptes 2023 natures'!#REF!/'4.1 Comptes 2023 natures'!V3</f>
        <v>#REF!</v>
      </c>
      <c r="W173" s="13" t="e">
        <f>'4.1 Comptes 2023 natures'!#REF!/'4.1 Comptes 2023 natures'!W3</f>
        <v>#REF!</v>
      </c>
      <c r="X173" s="13" t="e">
        <f>'4.1 Comptes 2023 natures'!#REF!/'4.1 Comptes 2023 natures'!X3</f>
        <v>#REF!</v>
      </c>
      <c r="Y173" s="13" t="e">
        <f>'4.1 Comptes 2023 natures'!#REF!/'4.1 Comptes 2023 natures'!Y3</f>
        <v>#REF!</v>
      </c>
      <c r="Z173" s="13" t="e">
        <f>'4.1 Comptes 2023 natures'!#REF!/'4.1 Comptes 2023 natures'!Z3</f>
        <v>#REF!</v>
      </c>
      <c r="AA173" s="13" t="e">
        <f>'4.1 Comptes 2023 natures'!#REF!/'4.1 Comptes 2023 natures'!AA3</f>
        <v>#REF!</v>
      </c>
      <c r="AB173" s="13" t="e">
        <f>'4.1 Comptes 2023 natures'!#REF!/'4.1 Comptes 2023 natures'!AB3</f>
        <v>#REF!</v>
      </c>
      <c r="AC173" s="13" t="e">
        <f>'4.1 Comptes 2023 natures'!#REF!/'4.1 Comptes 2023 natures'!AC3</f>
        <v>#REF!</v>
      </c>
      <c r="AD173" s="13" t="e">
        <f>'4.1 Comptes 2023 natures'!#REF!/'4.1 Comptes 2023 natures'!AD3</f>
        <v>#REF!</v>
      </c>
      <c r="AE173" s="13" t="e">
        <f>'4.1 Comptes 2023 natures'!#REF!/'4.1 Comptes 2023 natures'!AE3</f>
        <v>#REF!</v>
      </c>
      <c r="AF173" s="13" t="e">
        <f>'4.1 Comptes 2023 natures'!#REF!/'4.1 Comptes 2023 natures'!AF3</f>
        <v>#REF!</v>
      </c>
      <c r="AG173" s="13" t="e">
        <f>'4.1 Comptes 2023 natures'!#REF!/'4.1 Comptes 2023 natures'!AG3</f>
        <v>#REF!</v>
      </c>
      <c r="AH173" s="13" t="e">
        <f>'4.1 Comptes 2023 natures'!#REF!/'4.1 Comptes 2023 natures'!AH3</f>
        <v>#REF!</v>
      </c>
      <c r="AI173" s="13" t="e">
        <f>'4.1 Comptes 2023 natures'!#REF!/'4.1 Comptes 2023 natures'!AI3</f>
        <v>#REF!</v>
      </c>
      <c r="AJ173" s="13" t="e">
        <f>'4.1 Comptes 2023 natures'!#REF!/'4.1 Comptes 2023 natures'!AJ3</f>
        <v>#REF!</v>
      </c>
      <c r="AK173" s="13" t="e">
        <f>'4.1 Comptes 2023 natures'!#REF!/'4.1 Comptes 2023 natures'!AK3</f>
        <v>#REF!</v>
      </c>
      <c r="AL173" s="13" t="e">
        <f>'4.1 Comptes 2023 natures'!#REF!/'4.1 Comptes 2023 natures'!AL3</f>
        <v>#REF!</v>
      </c>
      <c r="AM173" s="13" t="e">
        <f>'4.1 Comptes 2023 natures'!#REF!/'4.1 Comptes 2023 natures'!AM3</f>
        <v>#REF!</v>
      </c>
      <c r="AN173" s="13" t="e">
        <f>'4.1 Comptes 2023 natures'!#REF!/'4.1 Comptes 2023 natures'!AN3</f>
        <v>#REF!</v>
      </c>
      <c r="AO173" s="13" t="e">
        <f>'4.1 Comptes 2023 natures'!#REF!/'4.1 Comptes 2023 natures'!AO3</f>
        <v>#REF!</v>
      </c>
      <c r="AP173" s="13" t="e">
        <f>'4.1 Comptes 2023 natures'!#REF!/'4.1 Comptes 2023 natures'!AP3</f>
        <v>#REF!</v>
      </c>
      <c r="AQ173" s="13" t="e">
        <f>'4.1 Comptes 2023 natures'!#REF!/'4.1 Comptes 2023 natures'!AQ3</f>
        <v>#REF!</v>
      </c>
      <c r="AR173" s="13" t="e">
        <f>'4.1 Comptes 2023 natures'!#REF!/'4.1 Comptes 2023 natures'!AR3</f>
        <v>#REF!</v>
      </c>
      <c r="AS173" s="13" t="e">
        <f>'4.1 Comptes 2023 natures'!#REF!/'4.1 Comptes 2023 natures'!AS3</f>
        <v>#REF!</v>
      </c>
      <c r="AT173" s="13" t="e">
        <f>'4.1 Comptes 2023 natures'!#REF!/'4.1 Comptes 2023 natures'!AT3</f>
        <v>#REF!</v>
      </c>
      <c r="AU173" s="13" t="e">
        <f>'4.1 Comptes 2023 natures'!#REF!/'4.1 Comptes 2023 natures'!AU3</f>
        <v>#REF!</v>
      </c>
      <c r="AV173" s="13" t="e">
        <f>'4.1 Comptes 2023 natures'!#REF!/'4.1 Comptes 2023 natures'!AV3</f>
        <v>#REF!</v>
      </c>
      <c r="AW173" s="13" t="e">
        <f>'4.1 Comptes 2023 natures'!#REF!/'4.1 Comptes 2023 natures'!AW3</f>
        <v>#REF!</v>
      </c>
      <c r="AX173" s="13" t="e">
        <f>'4.1 Comptes 2023 natures'!#REF!/'4.1 Comptes 2023 natures'!AX3</f>
        <v>#REF!</v>
      </c>
      <c r="AY173" s="13" t="e">
        <f>'4.1 Comptes 2023 natures'!#REF!/'4.1 Comptes 2023 natures'!AY3</f>
        <v>#REF!</v>
      </c>
      <c r="AZ173" s="13" t="e">
        <f>'4.1 Comptes 2023 natures'!#REF!/'4.1 Comptes 2023 natures'!AZ3</f>
        <v>#REF!</v>
      </c>
      <c r="BA173" s="13" t="e">
        <f>'4.1 Comptes 2023 natures'!#REF!/'4.1 Comptes 2023 natures'!BA3</f>
        <v>#REF!</v>
      </c>
      <c r="BB173" s="13" t="e">
        <f>'4.1 Comptes 2023 natures'!#REF!/'4.1 Comptes 2023 natures'!BB3</f>
        <v>#REF!</v>
      </c>
      <c r="BC173" s="13" t="e">
        <f>'4.1 Comptes 2023 natures'!#REF!/'4.1 Comptes 2023 natures'!BC3</f>
        <v>#REF!</v>
      </c>
      <c r="BD173" s="13" t="e">
        <f t="shared" si="29"/>
        <v>#REF!</v>
      </c>
      <c r="BE173" s="13" t="e">
        <f t="shared" si="30"/>
        <v>#REF!</v>
      </c>
      <c r="BF173" s="13" t="e">
        <f t="shared" si="31"/>
        <v>#REF!</v>
      </c>
      <c r="BG173" s="13" t="e">
        <f t="shared" si="32"/>
        <v>#REF!</v>
      </c>
    </row>
    <row r="174" spans="3:59" x14ac:dyDescent="0.2">
      <c r="C174" s="8">
        <v>36228</v>
      </c>
      <c r="D174" s="8" t="s">
        <v>268</v>
      </c>
      <c r="E174" s="13" t="e">
        <f>'4.1 Comptes 2023 natures'!#REF!/'4.1 Comptes 2023 natures'!E3</f>
        <v>#REF!</v>
      </c>
      <c r="F174" s="13" t="e">
        <f>'4.1 Comptes 2023 natures'!#REF!/'4.1 Comptes 2023 natures'!F3</f>
        <v>#REF!</v>
      </c>
      <c r="G174" s="13" t="e">
        <f>'4.1 Comptes 2023 natures'!#REF!/'4.1 Comptes 2023 natures'!G3</f>
        <v>#REF!</v>
      </c>
      <c r="H174" s="13" t="e">
        <f>'4.1 Comptes 2023 natures'!#REF!/'4.1 Comptes 2023 natures'!H3</f>
        <v>#REF!</v>
      </c>
      <c r="I174" s="13" t="e">
        <f>'4.1 Comptes 2023 natures'!#REF!/'4.1 Comptes 2023 natures'!I3</f>
        <v>#REF!</v>
      </c>
      <c r="J174" s="13" t="e">
        <f>'4.1 Comptes 2023 natures'!#REF!/'4.1 Comptes 2023 natures'!J3</f>
        <v>#REF!</v>
      </c>
      <c r="K174" s="13" t="e">
        <f>'4.1 Comptes 2023 natures'!#REF!/'4.1 Comptes 2023 natures'!K3</f>
        <v>#REF!</v>
      </c>
      <c r="L174" s="13" t="e">
        <f>'4.1 Comptes 2023 natures'!#REF!/'4.1 Comptes 2023 natures'!L3</f>
        <v>#REF!</v>
      </c>
      <c r="M174" s="13" t="e">
        <f>'4.1 Comptes 2023 natures'!#REF!/'4.1 Comptes 2023 natures'!M3</f>
        <v>#REF!</v>
      </c>
      <c r="N174" s="13" t="e">
        <f>'4.1 Comptes 2023 natures'!#REF!/'4.1 Comptes 2023 natures'!N3</f>
        <v>#REF!</v>
      </c>
      <c r="O174" s="13" t="e">
        <f>'4.1 Comptes 2023 natures'!#REF!/'4.1 Comptes 2023 natures'!O3</f>
        <v>#REF!</v>
      </c>
      <c r="P174" s="13" t="e">
        <f>'4.1 Comptes 2023 natures'!#REF!/'4.1 Comptes 2023 natures'!P3</f>
        <v>#REF!</v>
      </c>
      <c r="Q174" s="13" t="e">
        <f>'4.1 Comptes 2023 natures'!#REF!/'4.1 Comptes 2023 natures'!Q3</f>
        <v>#REF!</v>
      </c>
      <c r="R174" s="13" t="e">
        <f>'4.1 Comptes 2023 natures'!#REF!/'4.1 Comptes 2023 natures'!R3</f>
        <v>#REF!</v>
      </c>
      <c r="S174" s="13" t="e">
        <f>'4.1 Comptes 2023 natures'!#REF!/'4.1 Comptes 2023 natures'!S3</f>
        <v>#REF!</v>
      </c>
      <c r="T174" s="13" t="e">
        <f>'4.1 Comptes 2023 natures'!#REF!/'4.1 Comptes 2023 natures'!T3</f>
        <v>#REF!</v>
      </c>
      <c r="U174" s="13" t="e">
        <f>'4.1 Comptes 2023 natures'!#REF!/'4.1 Comptes 2023 natures'!U3</f>
        <v>#REF!</v>
      </c>
      <c r="V174" s="13" t="e">
        <f>'4.1 Comptes 2023 natures'!#REF!/'4.1 Comptes 2023 natures'!V3</f>
        <v>#REF!</v>
      </c>
      <c r="W174" s="13" t="e">
        <f>'4.1 Comptes 2023 natures'!#REF!/'4.1 Comptes 2023 natures'!W3</f>
        <v>#REF!</v>
      </c>
      <c r="X174" s="13" t="e">
        <f>'4.1 Comptes 2023 natures'!#REF!/'4.1 Comptes 2023 natures'!X3</f>
        <v>#REF!</v>
      </c>
      <c r="Y174" s="13" t="e">
        <f>'4.1 Comptes 2023 natures'!#REF!/'4.1 Comptes 2023 natures'!Y3</f>
        <v>#REF!</v>
      </c>
      <c r="Z174" s="13" t="e">
        <f>'4.1 Comptes 2023 natures'!#REF!/'4.1 Comptes 2023 natures'!Z3</f>
        <v>#REF!</v>
      </c>
      <c r="AA174" s="13" t="e">
        <f>'4.1 Comptes 2023 natures'!#REF!/'4.1 Comptes 2023 natures'!AA3</f>
        <v>#REF!</v>
      </c>
      <c r="AB174" s="13" t="e">
        <f>'4.1 Comptes 2023 natures'!#REF!/'4.1 Comptes 2023 natures'!AB3</f>
        <v>#REF!</v>
      </c>
      <c r="AC174" s="13" t="e">
        <f>'4.1 Comptes 2023 natures'!#REF!/'4.1 Comptes 2023 natures'!AC3</f>
        <v>#REF!</v>
      </c>
      <c r="AD174" s="13" t="e">
        <f>'4.1 Comptes 2023 natures'!#REF!/'4.1 Comptes 2023 natures'!AD3</f>
        <v>#REF!</v>
      </c>
      <c r="AE174" s="13" t="e">
        <f>'4.1 Comptes 2023 natures'!#REF!/'4.1 Comptes 2023 natures'!AE3</f>
        <v>#REF!</v>
      </c>
      <c r="AF174" s="13" t="e">
        <f>'4.1 Comptes 2023 natures'!#REF!/'4.1 Comptes 2023 natures'!AF3</f>
        <v>#REF!</v>
      </c>
      <c r="AG174" s="13" t="e">
        <f>'4.1 Comptes 2023 natures'!#REF!/'4.1 Comptes 2023 natures'!AG3</f>
        <v>#REF!</v>
      </c>
      <c r="AH174" s="13" t="e">
        <f>'4.1 Comptes 2023 natures'!#REF!/'4.1 Comptes 2023 natures'!AH3</f>
        <v>#REF!</v>
      </c>
      <c r="AI174" s="13" t="e">
        <f>'4.1 Comptes 2023 natures'!#REF!/'4.1 Comptes 2023 natures'!AI3</f>
        <v>#REF!</v>
      </c>
      <c r="AJ174" s="13" t="e">
        <f>'4.1 Comptes 2023 natures'!#REF!/'4.1 Comptes 2023 natures'!AJ3</f>
        <v>#REF!</v>
      </c>
      <c r="AK174" s="13" t="e">
        <f>'4.1 Comptes 2023 natures'!#REF!/'4.1 Comptes 2023 natures'!AK3</f>
        <v>#REF!</v>
      </c>
      <c r="AL174" s="13" t="e">
        <f>'4.1 Comptes 2023 natures'!#REF!/'4.1 Comptes 2023 natures'!AL3</f>
        <v>#REF!</v>
      </c>
      <c r="AM174" s="13" t="e">
        <f>'4.1 Comptes 2023 natures'!#REF!/'4.1 Comptes 2023 natures'!AM3</f>
        <v>#REF!</v>
      </c>
      <c r="AN174" s="13" t="e">
        <f>'4.1 Comptes 2023 natures'!#REF!/'4.1 Comptes 2023 natures'!AN3</f>
        <v>#REF!</v>
      </c>
      <c r="AO174" s="13" t="e">
        <f>'4.1 Comptes 2023 natures'!#REF!/'4.1 Comptes 2023 natures'!AO3</f>
        <v>#REF!</v>
      </c>
      <c r="AP174" s="13" t="e">
        <f>'4.1 Comptes 2023 natures'!#REF!/'4.1 Comptes 2023 natures'!AP3</f>
        <v>#REF!</v>
      </c>
      <c r="AQ174" s="13" t="e">
        <f>'4.1 Comptes 2023 natures'!#REF!/'4.1 Comptes 2023 natures'!AQ3</f>
        <v>#REF!</v>
      </c>
      <c r="AR174" s="13" t="e">
        <f>'4.1 Comptes 2023 natures'!#REF!/'4.1 Comptes 2023 natures'!AR3</f>
        <v>#REF!</v>
      </c>
      <c r="AS174" s="13" t="e">
        <f>'4.1 Comptes 2023 natures'!#REF!/'4.1 Comptes 2023 natures'!AS3</f>
        <v>#REF!</v>
      </c>
      <c r="AT174" s="13" t="e">
        <f>'4.1 Comptes 2023 natures'!#REF!/'4.1 Comptes 2023 natures'!AT3</f>
        <v>#REF!</v>
      </c>
      <c r="AU174" s="13" t="e">
        <f>'4.1 Comptes 2023 natures'!#REF!/'4.1 Comptes 2023 natures'!AU3</f>
        <v>#REF!</v>
      </c>
      <c r="AV174" s="13" t="e">
        <f>'4.1 Comptes 2023 natures'!#REF!/'4.1 Comptes 2023 natures'!AV3</f>
        <v>#REF!</v>
      </c>
      <c r="AW174" s="13" t="e">
        <f>'4.1 Comptes 2023 natures'!#REF!/'4.1 Comptes 2023 natures'!AW3</f>
        <v>#REF!</v>
      </c>
      <c r="AX174" s="13" t="e">
        <f>'4.1 Comptes 2023 natures'!#REF!/'4.1 Comptes 2023 natures'!AX3</f>
        <v>#REF!</v>
      </c>
      <c r="AY174" s="13" t="e">
        <f>'4.1 Comptes 2023 natures'!#REF!/'4.1 Comptes 2023 natures'!AY3</f>
        <v>#REF!</v>
      </c>
      <c r="AZ174" s="13" t="e">
        <f>'4.1 Comptes 2023 natures'!#REF!/'4.1 Comptes 2023 natures'!AZ3</f>
        <v>#REF!</v>
      </c>
      <c r="BA174" s="13" t="e">
        <f>'4.1 Comptes 2023 natures'!#REF!/'4.1 Comptes 2023 natures'!BA3</f>
        <v>#REF!</v>
      </c>
      <c r="BB174" s="13" t="e">
        <f>'4.1 Comptes 2023 natures'!#REF!/'4.1 Comptes 2023 natures'!BB3</f>
        <v>#REF!</v>
      </c>
      <c r="BC174" s="13" t="e">
        <f>'4.1 Comptes 2023 natures'!#REF!/'4.1 Comptes 2023 natures'!BC3</f>
        <v>#REF!</v>
      </c>
      <c r="BD174" s="13" t="e">
        <f t="shared" si="29"/>
        <v>#REF!</v>
      </c>
      <c r="BE174" s="13" t="e">
        <f t="shared" si="30"/>
        <v>#REF!</v>
      </c>
      <c r="BF174" s="13" t="e">
        <f t="shared" si="31"/>
        <v>#REF!</v>
      </c>
      <c r="BG174" s="13" t="e">
        <f t="shared" si="32"/>
        <v>#REF!</v>
      </c>
    </row>
    <row r="175" spans="3:59" x14ac:dyDescent="0.2">
      <c r="C175" s="8">
        <v>3898</v>
      </c>
      <c r="D175" s="8" t="s">
        <v>288</v>
      </c>
      <c r="E175" s="13" t="e">
        <f>'4.1 Comptes 2023 natures'!#REF!/'4.1 Comptes 2023 natures'!E3</f>
        <v>#REF!</v>
      </c>
      <c r="F175" s="13" t="e">
        <f>'4.1 Comptes 2023 natures'!#REF!/'4.1 Comptes 2023 natures'!F3</f>
        <v>#REF!</v>
      </c>
      <c r="G175" s="13" t="e">
        <f>'4.1 Comptes 2023 natures'!#REF!/'4.1 Comptes 2023 natures'!G3</f>
        <v>#REF!</v>
      </c>
      <c r="H175" s="13" t="e">
        <f>'4.1 Comptes 2023 natures'!#REF!/'4.1 Comptes 2023 natures'!H3</f>
        <v>#REF!</v>
      </c>
      <c r="I175" s="13" t="e">
        <f>'4.1 Comptes 2023 natures'!#REF!/'4.1 Comptes 2023 natures'!I3</f>
        <v>#REF!</v>
      </c>
      <c r="J175" s="13" t="e">
        <f>'4.1 Comptes 2023 natures'!#REF!/'4.1 Comptes 2023 natures'!J3</f>
        <v>#REF!</v>
      </c>
      <c r="K175" s="13" t="e">
        <f>'4.1 Comptes 2023 natures'!#REF!/'4.1 Comptes 2023 natures'!K3</f>
        <v>#REF!</v>
      </c>
      <c r="L175" s="13" t="e">
        <f>'4.1 Comptes 2023 natures'!#REF!/'4.1 Comptes 2023 natures'!L3</f>
        <v>#REF!</v>
      </c>
      <c r="M175" s="13" t="e">
        <f>'4.1 Comptes 2023 natures'!#REF!/'4.1 Comptes 2023 natures'!M3</f>
        <v>#REF!</v>
      </c>
      <c r="N175" s="13" t="e">
        <f>'4.1 Comptes 2023 natures'!#REF!/'4.1 Comptes 2023 natures'!N3</f>
        <v>#REF!</v>
      </c>
      <c r="O175" s="13" t="e">
        <f>'4.1 Comptes 2023 natures'!#REF!/'4.1 Comptes 2023 natures'!O3</f>
        <v>#REF!</v>
      </c>
      <c r="P175" s="13" t="e">
        <f>'4.1 Comptes 2023 natures'!#REF!/'4.1 Comptes 2023 natures'!P3</f>
        <v>#REF!</v>
      </c>
      <c r="Q175" s="13" t="e">
        <f>'4.1 Comptes 2023 natures'!#REF!/'4.1 Comptes 2023 natures'!Q3</f>
        <v>#REF!</v>
      </c>
      <c r="R175" s="13" t="e">
        <f>'4.1 Comptes 2023 natures'!#REF!/'4.1 Comptes 2023 natures'!R3</f>
        <v>#REF!</v>
      </c>
      <c r="S175" s="13" t="e">
        <f>'4.1 Comptes 2023 natures'!#REF!/'4.1 Comptes 2023 natures'!S3</f>
        <v>#REF!</v>
      </c>
      <c r="T175" s="13" t="e">
        <f>'4.1 Comptes 2023 natures'!#REF!/'4.1 Comptes 2023 natures'!T3</f>
        <v>#REF!</v>
      </c>
      <c r="U175" s="13" t="e">
        <f>'4.1 Comptes 2023 natures'!#REF!/'4.1 Comptes 2023 natures'!U3</f>
        <v>#REF!</v>
      </c>
      <c r="V175" s="13" t="e">
        <f>'4.1 Comptes 2023 natures'!#REF!/'4.1 Comptes 2023 natures'!V3</f>
        <v>#REF!</v>
      </c>
      <c r="W175" s="13" t="e">
        <f>'4.1 Comptes 2023 natures'!#REF!/'4.1 Comptes 2023 natures'!W3</f>
        <v>#REF!</v>
      </c>
      <c r="X175" s="13" t="e">
        <f>'4.1 Comptes 2023 natures'!#REF!/'4.1 Comptes 2023 natures'!X3</f>
        <v>#REF!</v>
      </c>
      <c r="Y175" s="13" t="e">
        <f>'4.1 Comptes 2023 natures'!#REF!/'4.1 Comptes 2023 natures'!Y3</f>
        <v>#REF!</v>
      </c>
      <c r="Z175" s="13" t="e">
        <f>'4.1 Comptes 2023 natures'!#REF!/'4.1 Comptes 2023 natures'!Z3</f>
        <v>#REF!</v>
      </c>
      <c r="AA175" s="13" t="e">
        <f>'4.1 Comptes 2023 natures'!#REF!/'4.1 Comptes 2023 natures'!AA3</f>
        <v>#REF!</v>
      </c>
      <c r="AB175" s="13" t="e">
        <f>'4.1 Comptes 2023 natures'!#REF!/'4.1 Comptes 2023 natures'!AB3</f>
        <v>#REF!</v>
      </c>
      <c r="AC175" s="13" t="e">
        <f>'4.1 Comptes 2023 natures'!#REF!/'4.1 Comptes 2023 natures'!AC3</f>
        <v>#REF!</v>
      </c>
      <c r="AD175" s="13" t="e">
        <f>'4.1 Comptes 2023 natures'!#REF!/'4.1 Comptes 2023 natures'!AD3</f>
        <v>#REF!</v>
      </c>
      <c r="AE175" s="13" t="e">
        <f>'4.1 Comptes 2023 natures'!#REF!/'4.1 Comptes 2023 natures'!AE3</f>
        <v>#REF!</v>
      </c>
      <c r="AF175" s="13" t="e">
        <f>'4.1 Comptes 2023 natures'!#REF!/'4.1 Comptes 2023 natures'!AF3</f>
        <v>#REF!</v>
      </c>
      <c r="AG175" s="13" t="e">
        <f>'4.1 Comptes 2023 natures'!#REF!/'4.1 Comptes 2023 natures'!AG3</f>
        <v>#REF!</v>
      </c>
      <c r="AH175" s="13" t="e">
        <f>'4.1 Comptes 2023 natures'!#REF!/'4.1 Comptes 2023 natures'!AH3</f>
        <v>#REF!</v>
      </c>
      <c r="AI175" s="13" t="e">
        <f>'4.1 Comptes 2023 natures'!#REF!/'4.1 Comptes 2023 natures'!AI3</f>
        <v>#REF!</v>
      </c>
      <c r="AJ175" s="13" t="e">
        <f>'4.1 Comptes 2023 natures'!#REF!/'4.1 Comptes 2023 natures'!AJ3</f>
        <v>#REF!</v>
      </c>
      <c r="AK175" s="13" t="e">
        <f>'4.1 Comptes 2023 natures'!#REF!/'4.1 Comptes 2023 natures'!AK3</f>
        <v>#REF!</v>
      </c>
      <c r="AL175" s="13" t="e">
        <f>'4.1 Comptes 2023 natures'!#REF!/'4.1 Comptes 2023 natures'!AL3</f>
        <v>#REF!</v>
      </c>
      <c r="AM175" s="13" t="e">
        <f>'4.1 Comptes 2023 natures'!#REF!/'4.1 Comptes 2023 natures'!AM3</f>
        <v>#REF!</v>
      </c>
      <c r="AN175" s="13" t="e">
        <f>'4.1 Comptes 2023 natures'!#REF!/'4.1 Comptes 2023 natures'!AN3</f>
        <v>#REF!</v>
      </c>
      <c r="AO175" s="13" t="e">
        <f>'4.1 Comptes 2023 natures'!#REF!/'4.1 Comptes 2023 natures'!AO3</f>
        <v>#REF!</v>
      </c>
      <c r="AP175" s="13" t="e">
        <f>'4.1 Comptes 2023 natures'!#REF!/'4.1 Comptes 2023 natures'!AP3</f>
        <v>#REF!</v>
      </c>
      <c r="AQ175" s="13" t="e">
        <f>'4.1 Comptes 2023 natures'!#REF!/'4.1 Comptes 2023 natures'!AQ3</f>
        <v>#REF!</v>
      </c>
      <c r="AR175" s="13" t="e">
        <f>'4.1 Comptes 2023 natures'!#REF!/'4.1 Comptes 2023 natures'!AR3</f>
        <v>#REF!</v>
      </c>
      <c r="AS175" s="13" t="e">
        <f>'4.1 Comptes 2023 natures'!#REF!/'4.1 Comptes 2023 natures'!AS3</f>
        <v>#REF!</v>
      </c>
      <c r="AT175" s="13" t="e">
        <f>'4.1 Comptes 2023 natures'!#REF!/'4.1 Comptes 2023 natures'!AT3</f>
        <v>#REF!</v>
      </c>
      <c r="AU175" s="13" t="e">
        <f>'4.1 Comptes 2023 natures'!#REF!/'4.1 Comptes 2023 natures'!AU3</f>
        <v>#REF!</v>
      </c>
      <c r="AV175" s="13" t="e">
        <f>'4.1 Comptes 2023 natures'!#REF!/'4.1 Comptes 2023 natures'!AV3</f>
        <v>#REF!</v>
      </c>
      <c r="AW175" s="13" t="e">
        <f>'4.1 Comptes 2023 natures'!#REF!/'4.1 Comptes 2023 natures'!AW3</f>
        <v>#REF!</v>
      </c>
      <c r="AX175" s="13" t="e">
        <f>'4.1 Comptes 2023 natures'!#REF!/'4.1 Comptes 2023 natures'!AX3</f>
        <v>#REF!</v>
      </c>
      <c r="AY175" s="13" t="e">
        <f>'4.1 Comptes 2023 natures'!#REF!/'4.1 Comptes 2023 natures'!AY3</f>
        <v>#REF!</v>
      </c>
      <c r="AZ175" s="13" t="e">
        <f>'4.1 Comptes 2023 natures'!#REF!/'4.1 Comptes 2023 natures'!AZ3</f>
        <v>#REF!</v>
      </c>
      <c r="BA175" s="13" t="e">
        <f>'4.1 Comptes 2023 natures'!#REF!/'4.1 Comptes 2023 natures'!BA3</f>
        <v>#REF!</v>
      </c>
      <c r="BB175" s="13" t="e">
        <f>'4.1 Comptes 2023 natures'!#REF!/'4.1 Comptes 2023 natures'!BB3</f>
        <v>#REF!</v>
      </c>
      <c r="BC175" s="13" t="e">
        <f>'4.1 Comptes 2023 natures'!#REF!/'4.1 Comptes 2023 natures'!BC3</f>
        <v>#REF!</v>
      </c>
      <c r="BD175" s="13" t="e">
        <f t="shared" si="29"/>
        <v>#REF!</v>
      </c>
      <c r="BE175" s="13" t="e">
        <f t="shared" si="30"/>
        <v>#REF!</v>
      </c>
      <c r="BF175" s="13" t="e">
        <f t="shared" si="31"/>
        <v>#REF!</v>
      </c>
      <c r="BG175" s="13" t="e">
        <f t="shared" si="32"/>
        <v>#REF!</v>
      </c>
    </row>
    <row r="176" spans="3:59" x14ac:dyDescent="0.2">
      <c r="C176" s="8">
        <v>90010</v>
      </c>
      <c r="D176" s="8" t="s">
        <v>293</v>
      </c>
      <c r="E176" s="13" t="e">
        <f>'4.1 Comptes 2023 natures'!#REF!/'4.1 Comptes 2023 natures'!E3</f>
        <v>#REF!</v>
      </c>
      <c r="F176" s="13" t="e">
        <f>'4.1 Comptes 2023 natures'!#REF!/'4.1 Comptes 2023 natures'!F3</f>
        <v>#REF!</v>
      </c>
      <c r="G176" s="13" t="e">
        <f>'4.1 Comptes 2023 natures'!#REF!/'4.1 Comptes 2023 natures'!G3</f>
        <v>#REF!</v>
      </c>
      <c r="H176" s="13" t="e">
        <f>'4.1 Comptes 2023 natures'!#REF!/'4.1 Comptes 2023 natures'!H3</f>
        <v>#REF!</v>
      </c>
      <c r="I176" s="13" t="e">
        <f>'4.1 Comptes 2023 natures'!#REF!/'4.1 Comptes 2023 natures'!I3</f>
        <v>#REF!</v>
      </c>
      <c r="J176" s="13" t="e">
        <f>'4.1 Comptes 2023 natures'!#REF!/'4.1 Comptes 2023 natures'!J3</f>
        <v>#REF!</v>
      </c>
      <c r="K176" s="13" t="e">
        <f>'4.1 Comptes 2023 natures'!#REF!/'4.1 Comptes 2023 natures'!K3</f>
        <v>#REF!</v>
      </c>
      <c r="L176" s="13" t="e">
        <f>'4.1 Comptes 2023 natures'!#REF!/'4.1 Comptes 2023 natures'!L3</f>
        <v>#REF!</v>
      </c>
      <c r="M176" s="13" t="e">
        <f>'4.1 Comptes 2023 natures'!#REF!/'4.1 Comptes 2023 natures'!M3</f>
        <v>#REF!</v>
      </c>
      <c r="N176" s="13" t="e">
        <f>'4.1 Comptes 2023 natures'!#REF!/'4.1 Comptes 2023 natures'!N3</f>
        <v>#REF!</v>
      </c>
      <c r="O176" s="13" t="e">
        <f>'4.1 Comptes 2023 natures'!#REF!/'4.1 Comptes 2023 natures'!O3</f>
        <v>#REF!</v>
      </c>
      <c r="P176" s="13" t="e">
        <f>'4.1 Comptes 2023 natures'!#REF!/'4.1 Comptes 2023 natures'!P3</f>
        <v>#REF!</v>
      </c>
      <c r="Q176" s="13" t="e">
        <f>'4.1 Comptes 2023 natures'!#REF!/'4.1 Comptes 2023 natures'!Q3</f>
        <v>#REF!</v>
      </c>
      <c r="R176" s="13" t="e">
        <f>'4.1 Comptes 2023 natures'!#REF!/'4.1 Comptes 2023 natures'!R3</f>
        <v>#REF!</v>
      </c>
      <c r="S176" s="13" t="e">
        <f>'4.1 Comptes 2023 natures'!#REF!/'4.1 Comptes 2023 natures'!S3</f>
        <v>#REF!</v>
      </c>
      <c r="T176" s="13" t="e">
        <f>'4.1 Comptes 2023 natures'!#REF!/'4.1 Comptes 2023 natures'!T3</f>
        <v>#REF!</v>
      </c>
      <c r="U176" s="13" t="e">
        <f>'4.1 Comptes 2023 natures'!#REF!/'4.1 Comptes 2023 natures'!U3</f>
        <v>#REF!</v>
      </c>
      <c r="V176" s="13" t="e">
        <f>'4.1 Comptes 2023 natures'!#REF!/'4.1 Comptes 2023 natures'!V3</f>
        <v>#REF!</v>
      </c>
      <c r="W176" s="13" t="e">
        <f>'4.1 Comptes 2023 natures'!#REF!/'4.1 Comptes 2023 natures'!W3</f>
        <v>#REF!</v>
      </c>
      <c r="X176" s="13" t="e">
        <f>'4.1 Comptes 2023 natures'!#REF!/'4.1 Comptes 2023 natures'!X3</f>
        <v>#REF!</v>
      </c>
      <c r="Y176" s="13" t="e">
        <f>'4.1 Comptes 2023 natures'!#REF!/'4.1 Comptes 2023 natures'!Y3</f>
        <v>#REF!</v>
      </c>
      <c r="Z176" s="13" t="e">
        <f>'4.1 Comptes 2023 natures'!#REF!/'4.1 Comptes 2023 natures'!Z3</f>
        <v>#REF!</v>
      </c>
      <c r="AA176" s="13" t="e">
        <f>'4.1 Comptes 2023 natures'!#REF!/'4.1 Comptes 2023 natures'!AA3</f>
        <v>#REF!</v>
      </c>
      <c r="AB176" s="13" t="e">
        <f>'4.1 Comptes 2023 natures'!#REF!/'4.1 Comptes 2023 natures'!AB3</f>
        <v>#REF!</v>
      </c>
      <c r="AC176" s="13" t="e">
        <f>'4.1 Comptes 2023 natures'!#REF!/'4.1 Comptes 2023 natures'!AC3</f>
        <v>#REF!</v>
      </c>
      <c r="AD176" s="13" t="e">
        <f>'4.1 Comptes 2023 natures'!#REF!/'4.1 Comptes 2023 natures'!AD3</f>
        <v>#REF!</v>
      </c>
      <c r="AE176" s="13" t="e">
        <f>'4.1 Comptes 2023 natures'!#REF!/'4.1 Comptes 2023 natures'!AE3</f>
        <v>#REF!</v>
      </c>
      <c r="AF176" s="13" t="e">
        <f>'4.1 Comptes 2023 natures'!#REF!/'4.1 Comptes 2023 natures'!AF3</f>
        <v>#REF!</v>
      </c>
      <c r="AG176" s="13" t="e">
        <f>'4.1 Comptes 2023 natures'!#REF!/'4.1 Comptes 2023 natures'!AG3</f>
        <v>#REF!</v>
      </c>
      <c r="AH176" s="13" t="e">
        <f>'4.1 Comptes 2023 natures'!#REF!/'4.1 Comptes 2023 natures'!AH3</f>
        <v>#REF!</v>
      </c>
      <c r="AI176" s="13" t="e">
        <f>'4.1 Comptes 2023 natures'!#REF!/'4.1 Comptes 2023 natures'!AI3</f>
        <v>#REF!</v>
      </c>
      <c r="AJ176" s="13" t="e">
        <f>'4.1 Comptes 2023 natures'!#REF!/'4.1 Comptes 2023 natures'!AJ3</f>
        <v>#REF!</v>
      </c>
      <c r="AK176" s="13" t="e">
        <f>'4.1 Comptes 2023 natures'!#REF!/'4.1 Comptes 2023 natures'!AK3</f>
        <v>#REF!</v>
      </c>
      <c r="AL176" s="13" t="e">
        <f>'4.1 Comptes 2023 natures'!#REF!/'4.1 Comptes 2023 natures'!AL3</f>
        <v>#REF!</v>
      </c>
      <c r="AM176" s="13" t="e">
        <f>'4.1 Comptes 2023 natures'!#REF!/'4.1 Comptes 2023 natures'!AM3</f>
        <v>#REF!</v>
      </c>
      <c r="AN176" s="13" t="e">
        <f>'4.1 Comptes 2023 natures'!#REF!/'4.1 Comptes 2023 natures'!AN3</f>
        <v>#REF!</v>
      </c>
      <c r="AO176" s="13" t="e">
        <f>'4.1 Comptes 2023 natures'!#REF!/'4.1 Comptes 2023 natures'!AO3</f>
        <v>#REF!</v>
      </c>
      <c r="AP176" s="13" t="e">
        <f>'4.1 Comptes 2023 natures'!#REF!/'4.1 Comptes 2023 natures'!AP3</f>
        <v>#REF!</v>
      </c>
      <c r="AQ176" s="13" t="e">
        <f>'4.1 Comptes 2023 natures'!#REF!/'4.1 Comptes 2023 natures'!AQ3</f>
        <v>#REF!</v>
      </c>
      <c r="AR176" s="13" t="e">
        <f>'4.1 Comptes 2023 natures'!#REF!/'4.1 Comptes 2023 natures'!AR3</f>
        <v>#REF!</v>
      </c>
      <c r="AS176" s="13" t="e">
        <f>'4.1 Comptes 2023 natures'!#REF!/'4.1 Comptes 2023 natures'!AS3</f>
        <v>#REF!</v>
      </c>
      <c r="AT176" s="13" t="e">
        <f>'4.1 Comptes 2023 natures'!#REF!/'4.1 Comptes 2023 natures'!AT3</f>
        <v>#REF!</v>
      </c>
      <c r="AU176" s="13" t="e">
        <f>'4.1 Comptes 2023 natures'!#REF!/'4.1 Comptes 2023 natures'!AU3</f>
        <v>#REF!</v>
      </c>
      <c r="AV176" s="13" t="e">
        <f>'4.1 Comptes 2023 natures'!#REF!/'4.1 Comptes 2023 natures'!AV3</f>
        <v>#REF!</v>
      </c>
      <c r="AW176" s="13" t="e">
        <f>'4.1 Comptes 2023 natures'!#REF!/'4.1 Comptes 2023 natures'!AW3</f>
        <v>#REF!</v>
      </c>
      <c r="AX176" s="13" t="e">
        <f>'4.1 Comptes 2023 natures'!#REF!/'4.1 Comptes 2023 natures'!AX3</f>
        <v>#REF!</v>
      </c>
      <c r="AY176" s="13" t="e">
        <f>'4.1 Comptes 2023 natures'!#REF!/'4.1 Comptes 2023 natures'!AY3</f>
        <v>#REF!</v>
      </c>
      <c r="AZ176" s="13" t="e">
        <f>'4.1 Comptes 2023 natures'!#REF!/'4.1 Comptes 2023 natures'!AZ3</f>
        <v>#REF!</v>
      </c>
      <c r="BA176" s="13" t="e">
        <f>'4.1 Comptes 2023 natures'!#REF!/'4.1 Comptes 2023 natures'!BA3</f>
        <v>#REF!</v>
      </c>
      <c r="BB176" s="13" t="e">
        <f>'4.1 Comptes 2023 natures'!#REF!/'4.1 Comptes 2023 natures'!BB3</f>
        <v>#REF!</v>
      </c>
      <c r="BC176" s="13" t="e">
        <f>'4.1 Comptes 2023 natures'!#REF!/'4.1 Comptes 2023 natures'!BC3</f>
        <v>#REF!</v>
      </c>
      <c r="BD176" s="13" t="e">
        <f t="shared" si="29"/>
        <v>#REF!</v>
      </c>
      <c r="BE176" s="13" t="e">
        <f t="shared" si="30"/>
        <v>#REF!</v>
      </c>
      <c r="BF176" s="13" t="e">
        <f t="shared" si="31"/>
        <v>#REF!</v>
      </c>
      <c r="BG176" s="13" t="e">
        <f t="shared" si="32"/>
        <v>#REF!</v>
      </c>
    </row>
    <row r="177" spans="3:59" x14ac:dyDescent="0.2">
      <c r="C177" s="8">
        <v>9031</v>
      </c>
      <c r="D177" s="8" t="s">
        <v>289</v>
      </c>
      <c r="E177" s="13" t="e">
        <f>'4.1 Comptes 2023 natures'!#REF!/'4.1 Comptes 2023 natures'!E3</f>
        <v>#REF!</v>
      </c>
      <c r="F177" s="13" t="e">
        <f>'4.1 Comptes 2023 natures'!#REF!/'4.1 Comptes 2023 natures'!F3</f>
        <v>#REF!</v>
      </c>
      <c r="G177" s="13" t="e">
        <f>'4.1 Comptes 2023 natures'!#REF!/'4.1 Comptes 2023 natures'!G3</f>
        <v>#REF!</v>
      </c>
      <c r="H177" s="13" t="e">
        <f>'4.1 Comptes 2023 natures'!#REF!/'4.1 Comptes 2023 natures'!H3</f>
        <v>#REF!</v>
      </c>
      <c r="I177" s="13" t="e">
        <f>'4.1 Comptes 2023 natures'!#REF!/'4.1 Comptes 2023 natures'!I3</f>
        <v>#REF!</v>
      </c>
      <c r="J177" s="13" t="e">
        <f>'4.1 Comptes 2023 natures'!#REF!/'4.1 Comptes 2023 natures'!J3</f>
        <v>#REF!</v>
      </c>
      <c r="K177" s="13" t="e">
        <f>'4.1 Comptes 2023 natures'!#REF!/'4.1 Comptes 2023 natures'!K3</f>
        <v>#REF!</v>
      </c>
      <c r="L177" s="13" t="e">
        <f>'4.1 Comptes 2023 natures'!#REF!/'4.1 Comptes 2023 natures'!L3</f>
        <v>#REF!</v>
      </c>
      <c r="M177" s="13" t="e">
        <f>'4.1 Comptes 2023 natures'!#REF!/'4.1 Comptes 2023 natures'!M3</f>
        <v>#REF!</v>
      </c>
      <c r="N177" s="13" t="e">
        <f>'4.1 Comptes 2023 natures'!#REF!/'4.1 Comptes 2023 natures'!N3</f>
        <v>#REF!</v>
      </c>
      <c r="O177" s="13" t="e">
        <f>'4.1 Comptes 2023 natures'!#REF!/'4.1 Comptes 2023 natures'!O3</f>
        <v>#REF!</v>
      </c>
      <c r="P177" s="13" t="e">
        <f>'4.1 Comptes 2023 natures'!#REF!/'4.1 Comptes 2023 natures'!P3</f>
        <v>#REF!</v>
      </c>
      <c r="Q177" s="13" t="e">
        <f>'4.1 Comptes 2023 natures'!#REF!/'4.1 Comptes 2023 natures'!Q3</f>
        <v>#REF!</v>
      </c>
      <c r="R177" s="13" t="e">
        <f>'4.1 Comptes 2023 natures'!#REF!/'4.1 Comptes 2023 natures'!R3</f>
        <v>#REF!</v>
      </c>
      <c r="S177" s="13" t="e">
        <f>'4.1 Comptes 2023 natures'!#REF!/'4.1 Comptes 2023 natures'!S3</f>
        <v>#REF!</v>
      </c>
      <c r="T177" s="13" t="e">
        <f>'4.1 Comptes 2023 natures'!#REF!/'4.1 Comptes 2023 natures'!T3</f>
        <v>#REF!</v>
      </c>
      <c r="U177" s="13" t="e">
        <f>'4.1 Comptes 2023 natures'!#REF!/'4.1 Comptes 2023 natures'!U3</f>
        <v>#REF!</v>
      </c>
      <c r="V177" s="13" t="e">
        <f>'4.1 Comptes 2023 natures'!#REF!/'4.1 Comptes 2023 natures'!V3</f>
        <v>#REF!</v>
      </c>
      <c r="W177" s="13" t="e">
        <f>'4.1 Comptes 2023 natures'!#REF!/'4.1 Comptes 2023 natures'!W3</f>
        <v>#REF!</v>
      </c>
      <c r="X177" s="13" t="e">
        <f>'4.1 Comptes 2023 natures'!#REF!/'4.1 Comptes 2023 natures'!X3</f>
        <v>#REF!</v>
      </c>
      <c r="Y177" s="13" t="e">
        <f>'4.1 Comptes 2023 natures'!#REF!/'4.1 Comptes 2023 natures'!Y3</f>
        <v>#REF!</v>
      </c>
      <c r="Z177" s="13" t="e">
        <f>'4.1 Comptes 2023 natures'!#REF!/'4.1 Comptes 2023 natures'!Z3</f>
        <v>#REF!</v>
      </c>
      <c r="AA177" s="13" t="e">
        <f>'4.1 Comptes 2023 natures'!#REF!/'4.1 Comptes 2023 natures'!AA3</f>
        <v>#REF!</v>
      </c>
      <c r="AB177" s="13" t="e">
        <f>'4.1 Comptes 2023 natures'!#REF!/'4.1 Comptes 2023 natures'!AB3</f>
        <v>#REF!</v>
      </c>
      <c r="AC177" s="13" t="e">
        <f>'4.1 Comptes 2023 natures'!#REF!/'4.1 Comptes 2023 natures'!AC3</f>
        <v>#REF!</v>
      </c>
      <c r="AD177" s="13" t="e">
        <f>'4.1 Comptes 2023 natures'!#REF!/'4.1 Comptes 2023 natures'!AD3</f>
        <v>#REF!</v>
      </c>
      <c r="AE177" s="13" t="e">
        <f>'4.1 Comptes 2023 natures'!#REF!/'4.1 Comptes 2023 natures'!AE3</f>
        <v>#REF!</v>
      </c>
      <c r="AF177" s="13" t="e">
        <f>'4.1 Comptes 2023 natures'!#REF!/'4.1 Comptes 2023 natures'!AF3</f>
        <v>#REF!</v>
      </c>
      <c r="AG177" s="13" t="e">
        <f>'4.1 Comptes 2023 natures'!#REF!/'4.1 Comptes 2023 natures'!AG3</f>
        <v>#REF!</v>
      </c>
      <c r="AH177" s="13" t="e">
        <f>'4.1 Comptes 2023 natures'!#REF!/'4.1 Comptes 2023 natures'!AH3</f>
        <v>#REF!</v>
      </c>
      <c r="AI177" s="13" t="e">
        <f>'4.1 Comptes 2023 natures'!#REF!/'4.1 Comptes 2023 natures'!AI3</f>
        <v>#REF!</v>
      </c>
      <c r="AJ177" s="13" t="e">
        <f>'4.1 Comptes 2023 natures'!#REF!/'4.1 Comptes 2023 natures'!AJ3</f>
        <v>#REF!</v>
      </c>
      <c r="AK177" s="13" t="e">
        <f>'4.1 Comptes 2023 natures'!#REF!/'4.1 Comptes 2023 natures'!AK3</f>
        <v>#REF!</v>
      </c>
      <c r="AL177" s="13" t="e">
        <f>'4.1 Comptes 2023 natures'!#REF!/'4.1 Comptes 2023 natures'!AL3</f>
        <v>#REF!</v>
      </c>
      <c r="AM177" s="13" t="e">
        <f>'4.1 Comptes 2023 natures'!#REF!/'4.1 Comptes 2023 natures'!AM3</f>
        <v>#REF!</v>
      </c>
      <c r="AN177" s="13" t="e">
        <f>'4.1 Comptes 2023 natures'!#REF!/'4.1 Comptes 2023 natures'!AN3</f>
        <v>#REF!</v>
      </c>
      <c r="AO177" s="13" t="e">
        <f>'4.1 Comptes 2023 natures'!#REF!/'4.1 Comptes 2023 natures'!AO3</f>
        <v>#REF!</v>
      </c>
      <c r="AP177" s="13" t="e">
        <f>'4.1 Comptes 2023 natures'!#REF!/'4.1 Comptes 2023 natures'!AP3</f>
        <v>#REF!</v>
      </c>
      <c r="AQ177" s="13" t="e">
        <f>'4.1 Comptes 2023 natures'!#REF!/'4.1 Comptes 2023 natures'!AQ3</f>
        <v>#REF!</v>
      </c>
      <c r="AR177" s="13" t="e">
        <f>'4.1 Comptes 2023 natures'!#REF!/'4.1 Comptes 2023 natures'!AR3</f>
        <v>#REF!</v>
      </c>
      <c r="AS177" s="13" t="e">
        <f>'4.1 Comptes 2023 natures'!#REF!/'4.1 Comptes 2023 natures'!AS3</f>
        <v>#REF!</v>
      </c>
      <c r="AT177" s="13" t="e">
        <f>'4.1 Comptes 2023 natures'!#REF!/'4.1 Comptes 2023 natures'!AT3</f>
        <v>#REF!</v>
      </c>
      <c r="AU177" s="13" t="e">
        <f>'4.1 Comptes 2023 natures'!#REF!/'4.1 Comptes 2023 natures'!AU3</f>
        <v>#REF!</v>
      </c>
      <c r="AV177" s="13" t="e">
        <f>'4.1 Comptes 2023 natures'!#REF!/'4.1 Comptes 2023 natures'!AV3</f>
        <v>#REF!</v>
      </c>
      <c r="AW177" s="13" t="e">
        <f>'4.1 Comptes 2023 natures'!#REF!/'4.1 Comptes 2023 natures'!AW3</f>
        <v>#REF!</v>
      </c>
      <c r="AX177" s="13" t="e">
        <f>'4.1 Comptes 2023 natures'!#REF!/'4.1 Comptes 2023 natures'!AX3</f>
        <v>#REF!</v>
      </c>
      <c r="AY177" s="13" t="e">
        <f>'4.1 Comptes 2023 natures'!#REF!/'4.1 Comptes 2023 natures'!AY3</f>
        <v>#REF!</v>
      </c>
      <c r="AZ177" s="13" t="e">
        <f>'4.1 Comptes 2023 natures'!#REF!/'4.1 Comptes 2023 natures'!AZ3</f>
        <v>#REF!</v>
      </c>
      <c r="BA177" s="13" t="e">
        <f>'4.1 Comptes 2023 natures'!#REF!/'4.1 Comptes 2023 natures'!BA3</f>
        <v>#REF!</v>
      </c>
      <c r="BB177" s="13" t="e">
        <f>'4.1 Comptes 2023 natures'!#REF!/'4.1 Comptes 2023 natures'!BB3</f>
        <v>#REF!</v>
      </c>
      <c r="BC177" s="13" t="e">
        <f>'4.1 Comptes 2023 natures'!#REF!/'4.1 Comptes 2023 natures'!BC3</f>
        <v>#REF!</v>
      </c>
      <c r="BD177" s="13" t="e">
        <f t="shared" si="29"/>
        <v>#REF!</v>
      </c>
      <c r="BE177" s="13" t="e">
        <f t="shared" si="30"/>
        <v>#REF!</v>
      </c>
      <c r="BF177" s="13" t="e">
        <f t="shared" si="31"/>
        <v>#REF!</v>
      </c>
      <c r="BG177" s="13" t="e">
        <f t="shared" si="32"/>
        <v>#REF!</v>
      </c>
    </row>
    <row r="178" spans="3:59" x14ac:dyDescent="0.2">
      <c r="M178" s="13"/>
    </row>
    <row r="179" spans="3:59" x14ac:dyDescent="0.2">
      <c r="D179" s="86" t="s">
        <v>233</v>
      </c>
      <c r="E179" s="20">
        <f>E65-E141</f>
        <v>0</v>
      </c>
      <c r="F179" s="20">
        <f t="shared" ref="F179:BG179" si="33">F65-F141</f>
        <v>0</v>
      </c>
      <c r="G179" s="20">
        <f t="shared" si="33"/>
        <v>0</v>
      </c>
      <c r="H179" s="20">
        <f t="shared" si="33"/>
        <v>0</v>
      </c>
      <c r="I179" s="20">
        <f t="shared" si="33"/>
        <v>0</v>
      </c>
      <c r="J179" s="20">
        <f t="shared" si="33"/>
        <v>0</v>
      </c>
      <c r="K179" s="20">
        <f t="shared" si="33"/>
        <v>0</v>
      </c>
      <c r="L179" s="20">
        <f t="shared" si="33"/>
        <v>0</v>
      </c>
      <c r="M179" s="20">
        <f t="shared" si="33"/>
        <v>0</v>
      </c>
      <c r="N179" s="20">
        <f t="shared" si="33"/>
        <v>-78.943162393162396</v>
      </c>
      <c r="O179" s="20">
        <f t="shared" si="33"/>
        <v>0</v>
      </c>
      <c r="P179" s="20">
        <f t="shared" si="33"/>
        <v>0</v>
      </c>
      <c r="Q179" s="20">
        <f t="shared" si="33"/>
        <v>0</v>
      </c>
      <c r="R179" s="20">
        <f t="shared" si="33"/>
        <v>0</v>
      </c>
      <c r="S179" s="20">
        <f t="shared" si="33"/>
        <v>0</v>
      </c>
      <c r="T179" s="20">
        <f t="shared" si="33"/>
        <v>0</v>
      </c>
      <c r="U179" s="20">
        <f t="shared" si="33"/>
        <v>0</v>
      </c>
      <c r="V179" s="20">
        <f t="shared" si="33"/>
        <v>0</v>
      </c>
      <c r="W179" s="20">
        <f t="shared" si="33"/>
        <v>0</v>
      </c>
      <c r="X179" s="20">
        <f t="shared" si="33"/>
        <v>0</v>
      </c>
      <c r="Y179" s="20">
        <f t="shared" si="33"/>
        <v>0</v>
      </c>
      <c r="Z179" s="20">
        <f t="shared" si="33"/>
        <v>0</v>
      </c>
      <c r="AA179" s="20">
        <f t="shared" si="33"/>
        <v>0</v>
      </c>
      <c r="AB179" s="20">
        <f t="shared" si="33"/>
        <v>0</v>
      </c>
      <c r="AC179" s="20">
        <f t="shared" si="33"/>
        <v>0</v>
      </c>
      <c r="AD179" s="20">
        <f t="shared" si="33"/>
        <v>0</v>
      </c>
      <c r="AE179" s="20">
        <f t="shared" si="33"/>
        <v>0</v>
      </c>
      <c r="AF179" s="20">
        <f t="shared" si="33"/>
        <v>0</v>
      </c>
      <c r="AG179" s="20">
        <f t="shared" si="33"/>
        <v>0</v>
      </c>
      <c r="AH179" s="20">
        <f t="shared" si="33"/>
        <v>0</v>
      </c>
      <c r="AI179" s="20">
        <f t="shared" si="33"/>
        <v>0</v>
      </c>
      <c r="AJ179" s="20">
        <f t="shared" si="33"/>
        <v>0</v>
      </c>
      <c r="AK179" s="20">
        <f t="shared" si="33"/>
        <v>0</v>
      </c>
      <c r="AL179" s="20">
        <f t="shared" si="33"/>
        <v>0</v>
      </c>
      <c r="AM179" s="20">
        <f t="shared" si="33"/>
        <v>0</v>
      </c>
      <c r="AN179" s="20">
        <f t="shared" si="33"/>
        <v>0</v>
      </c>
      <c r="AO179" s="20">
        <f t="shared" si="33"/>
        <v>0</v>
      </c>
      <c r="AP179" s="20">
        <f t="shared" si="33"/>
        <v>0</v>
      </c>
      <c r="AQ179" s="20">
        <f t="shared" si="33"/>
        <v>0</v>
      </c>
      <c r="AR179" s="20">
        <f t="shared" si="33"/>
        <v>0</v>
      </c>
      <c r="AS179" s="20">
        <f t="shared" si="33"/>
        <v>0</v>
      </c>
      <c r="AT179" s="20">
        <f t="shared" si="33"/>
        <v>0</v>
      </c>
      <c r="AU179" s="20">
        <f t="shared" si="33"/>
        <v>0</v>
      </c>
      <c r="AV179" s="20">
        <f t="shared" si="33"/>
        <v>0</v>
      </c>
      <c r="AW179" s="20">
        <f t="shared" si="33"/>
        <v>0</v>
      </c>
      <c r="AX179" s="20">
        <f t="shared" si="33"/>
        <v>0</v>
      </c>
      <c r="AY179" s="20">
        <f t="shared" si="33"/>
        <v>0</v>
      </c>
      <c r="AZ179" s="20">
        <f t="shared" si="33"/>
        <v>0</v>
      </c>
      <c r="BA179" s="20">
        <f t="shared" si="33"/>
        <v>0</v>
      </c>
      <c r="BB179" s="20">
        <f t="shared" si="33"/>
        <v>0</v>
      </c>
      <c r="BC179" s="20">
        <f t="shared" si="33"/>
        <v>0</v>
      </c>
      <c r="BD179" s="20">
        <f t="shared" si="33"/>
        <v>-0.12389802543327733</v>
      </c>
      <c r="BE179" s="20">
        <f t="shared" si="33"/>
        <v>-0.23288830055469134</v>
      </c>
      <c r="BF179" s="20">
        <f t="shared" si="33"/>
        <v>0</v>
      </c>
      <c r="BG179" s="20">
        <f t="shared" si="33"/>
        <v>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2" t="s">
        <v>851</v>
      </c>
      <c r="B2" s="7"/>
      <c r="C2" s="7"/>
      <c r="D2" s="7"/>
    </row>
    <row r="4" spans="1:5" ht="15.75" thickBot="1" x14ac:dyDescent="0.3">
      <c r="D4" s="201" t="s">
        <v>581</v>
      </c>
    </row>
    <row r="5" spans="1:5" ht="15.75" thickBot="1" x14ac:dyDescent="0.3">
      <c r="A5" s="8" t="s">
        <v>621</v>
      </c>
      <c r="D5" s="92" t="s">
        <v>55</v>
      </c>
    </row>
    <row r="7" spans="1:5" ht="15" x14ac:dyDescent="0.25">
      <c r="E7" s="30" t="s">
        <v>198</v>
      </c>
    </row>
    <row r="8" spans="1:5" ht="20.25" x14ac:dyDescent="0.3">
      <c r="A8" s="11">
        <v>3</v>
      </c>
      <c r="B8" s="11"/>
      <c r="C8" s="11"/>
      <c r="D8" s="11" t="s">
        <v>59</v>
      </c>
      <c r="E8" s="93">
        <f>HLOOKUP(D5,'4.1 Comptes 2023 natures'!$E$4:$BC$159,2,0)</f>
        <v>3875935.6499999994</v>
      </c>
    </row>
    <row r="9" spans="1:5" ht="15" x14ac:dyDescent="0.25">
      <c r="A9" s="75"/>
      <c r="B9" s="75">
        <v>30</v>
      </c>
      <c r="C9" s="75"/>
      <c r="D9" s="75" t="s">
        <v>60</v>
      </c>
      <c r="E9" s="76">
        <f>HLOOKUP($D$5,'4.1 Comptes 2023 natures'!$E$4:$BC$159,3,0)</f>
        <v>482187.44999999995</v>
      </c>
    </row>
    <row r="10" spans="1:5" x14ac:dyDescent="0.2">
      <c r="C10" s="8">
        <v>300</v>
      </c>
      <c r="D10" s="8" t="s">
        <v>77</v>
      </c>
      <c r="E10" s="18">
        <f>HLOOKUP($D$5,'4.1 Comptes 2023 natures'!$E$4:$BC$159,4,0)</f>
        <v>42148.35</v>
      </c>
    </row>
    <row r="11" spans="1:5" x14ac:dyDescent="0.2">
      <c r="C11" s="8">
        <v>301</v>
      </c>
      <c r="D11" s="8" t="s">
        <v>78</v>
      </c>
      <c r="E11" s="18">
        <f>HLOOKUP($D$5,'4.1 Comptes 2023 natures'!$E$4:$BC$159,5,0)</f>
        <v>368947.05</v>
      </c>
    </row>
    <row r="12" spans="1:5" x14ac:dyDescent="0.2">
      <c r="C12" s="8">
        <v>302</v>
      </c>
      <c r="D12" s="8" t="s">
        <v>79</v>
      </c>
      <c r="E12" s="18">
        <f>HLOOKUP($D$5,'4.1 Comptes 2023 natures'!$E$4:$BC$159,6,0)</f>
        <v>0</v>
      </c>
    </row>
    <row r="13" spans="1:5" x14ac:dyDescent="0.2">
      <c r="C13" s="8">
        <v>303</v>
      </c>
      <c r="D13" s="8" t="s">
        <v>80</v>
      </c>
      <c r="E13" s="18">
        <f>HLOOKUP($D$5,'4.1 Comptes 2023 natures'!$E$4:$BC$159,7,0)</f>
        <v>0</v>
      </c>
    </row>
    <row r="14" spans="1:5" x14ac:dyDescent="0.2">
      <c r="C14" s="8">
        <v>304</v>
      </c>
      <c r="D14" s="8" t="s">
        <v>572</v>
      </c>
      <c r="E14" s="18">
        <f>HLOOKUP($D$5,'4.1 Comptes 2023 natures'!$E$4:$BC$159,8,0)</f>
        <v>0</v>
      </c>
    </row>
    <row r="15" spans="1:5" x14ac:dyDescent="0.2">
      <c r="C15" s="8">
        <v>305</v>
      </c>
      <c r="D15" s="8" t="s">
        <v>81</v>
      </c>
      <c r="E15" s="18">
        <f>HLOOKUP($D$5,'4.1 Comptes 2023 natures'!$E$4:$BC$159,9,0)</f>
        <v>66948.5</v>
      </c>
    </row>
    <row r="16" spans="1:5" x14ac:dyDescent="0.2">
      <c r="C16" s="8">
        <v>306</v>
      </c>
      <c r="D16" s="8" t="s">
        <v>82</v>
      </c>
      <c r="E16" s="18">
        <f>HLOOKUP($D$5,'4.1 Comptes 2023 natures'!$E$4:$BC$159,10,0)</f>
        <v>0</v>
      </c>
    </row>
    <row r="17" spans="2:5" x14ac:dyDescent="0.2">
      <c r="C17" s="8">
        <v>309</v>
      </c>
      <c r="D17" s="8" t="s">
        <v>83</v>
      </c>
      <c r="E17" s="18">
        <f>HLOOKUP($D$5,'4.1 Comptes 2023 natures'!$E$4:$BC$159,11,0)</f>
        <v>4143.55</v>
      </c>
    </row>
    <row r="18" spans="2:5" x14ac:dyDescent="0.2">
      <c r="E18" s="13"/>
    </row>
    <row r="19" spans="2:5" ht="15" x14ac:dyDescent="0.25">
      <c r="B19" s="75">
        <v>31</v>
      </c>
      <c r="C19" s="75"/>
      <c r="D19" s="75" t="s">
        <v>84</v>
      </c>
      <c r="E19" s="76">
        <f>SUM(E20:E29)</f>
        <v>597375.05000000005</v>
      </c>
    </row>
    <row r="20" spans="2:5" x14ac:dyDescent="0.2">
      <c r="C20" s="8">
        <v>310</v>
      </c>
      <c r="D20" s="8" t="s">
        <v>85</v>
      </c>
      <c r="E20" s="18">
        <f>HLOOKUP($D$5,'4.1 Comptes 2023 natures'!$E$4:$BC$159,14,0)</f>
        <v>60361.57</v>
      </c>
    </row>
    <row r="21" spans="2:5" x14ac:dyDescent="0.2">
      <c r="C21" s="8">
        <v>311</v>
      </c>
      <c r="D21" s="8" t="s">
        <v>446</v>
      </c>
      <c r="E21" s="18">
        <f>HLOOKUP($D$5,'4.1 Comptes 2023 natures'!$E$4:$BC$159,15,0)</f>
        <v>44414.85</v>
      </c>
    </row>
    <row r="22" spans="2:5" x14ac:dyDescent="0.2">
      <c r="C22" s="8">
        <v>312</v>
      </c>
      <c r="D22" s="8" t="s">
        <v>87</v>
      </c>
      <c r="E22" s="18">
        <f>HLOOKUP($D$5,'4.1 Comptes 2023 natures'!$E$4:$BC$159,16,0)</f>
        <v>90500.75</v>
      </c>
    </row>
    <row r="23" spans="2:5" x14ac:dyDescent="0.2">
      <c r="C23" s="8">
        <v>313</v>
      </c>
      <c r="D23" s="8" t="s">
        <v>88</v>
      </c>
      <c r="E23" s="18">
        <f>HLOOKUP($D$5,'4.1 Comptes 2023 natures'!$E$4:$BC$159,17,0)</f>
        <v>167671.21</v>
      </c>
    </row>
    <row r="24" spans="2:5" x14ac:dyDescent="0.2">
      <c r="C24" s="8">
        <v>314</v>
      </c>
      <c r="D24" s="8" t="s">
        <v>814</v>
      </c>
      <c r="E24" s="18">
        <f>HLOOKUP($D$5,'4.1 Comptes 2023 natures'!$E$4:$BC$159,18,0)</f>
        <v>131974.35</v>
      </c>
    </row>
    <row r="25" spans="2:5" x14ac:dyDescent="0.2">
      <c r="C25" s="8">
        <v>315</v>
      </c>
      <c r="D25" s="8" t="s">
        <v>89</v>
      </c>
      <c r="E25" s="18">
        <f>HLOOKUP($D$5,'4.1 Comptes 2023 natures'!$E$4:$BC$159,19,0)</f>
        <v>55447.55</v>
      </c>
    </row>
    <row r="26" spans="2:5" x14ac:dyDescent="0.2">
      <c r="C26" s="8">
        <v>316</v>
      </c>
      <c r="D26" s="8" t="s">
        <v>90</v>
      </c>
      <c r="E26" s="18">
        <f>HLOOKUP($D$5,'4.1 Comptes 2023 natures'!$E$4:$BC$159,20,0)</f>
        <v>3877.2</v>
      </c>
    </row>
    <row r="27" spans="2:5" x14ac:dyDescent="0.2">
      <c r="C27" s="8">
        <v>317</v>
      </c>
      <c r="D27" s="8" t="s">
        <v>91</v>
      </c>
      <c r="E27" s="18">
        <f>HLOOKUP($D$5,'4.1 Comptes 2023 natures'!$E$4:$BC$159,21,0)</f>
        <v>20034.3</v>
      </c>
    </row>
    <row r="28" spans="2:5" x14ac:dyDescent="0.2">
      <c r="C28" s="8">
        <v>318</v>
      </c>
      <c r="D28" s="8" t="s">
        <v>92</v>
      </c>
      <c r="E28" s="18">
        <f>HLOOKUP($D$5,'4.1 Comptes 2023 natures'!$E$4:$BC$159,22,0)</f>
        <v>21664.77</v>
      </c>
    </row>
    <row r="29" spans="2:5" x14ac:dyDescent="0.2">
      <c r="C29" s="8">
        <v>319</v>
      </c>
      <c r="D29" s="8" t="s">
        <v>93</v>
      </c>
      <c r="E29" s="18">
        <f>HLOOKUP($D$5,'4.1 Comptes 2023 natures'!$E$4:$BC$159,23,0)</f>
        <v>1428.5</v>
      </c>
    </row>
    <row r="30" spans="2:5" x14ac:dyDescent="0.2">
      <c r="E30" s="13"/>
    </row>
    <row r="31" spans="2:5" ht="15" x14ac:dyDescent="0.25">
      <c r="B31" s="75">
        <v>33</v>
      </c>
      <c r="C31" s="75"/>
      <c r="D31" s="75" t="s">
        <v>94</v>
      </c>
      <c r="E31" s="76">
        <f>SUM(E32:E33)</f>
        <v>271969.69</v>
      </c>
    </row>
    <row r="32" spans="2:5" x14ac:dyDescent="0.2">
      <c r="C32" s="8">
        <v>330</v>
      </c>
      <c r="D32" s="8" t="s">
        <v>96</v>
      </c>
      <c r="E32" s="18">
        <f>HLOOKUP($D$5,'4.1 Comptes 2023 natures'!$E$4:$BC$159,26,0)</f>
        <v>271969.69</v>
      </c>
    </row>
    <row r="33" spans="2:5" x14ac:dyDescent="0.2">
      <c r="C33" s="8">
        <v>332</v>
      </c>
      <c r="D33" s="8" t="s">
        <v>95</v>
      </c>
      <c r="E33" s="18">
        <f>HLOOKUP($D$5,'4.1 Comptes 2023 natures'!$E$4:$BC$159,27,0)</f>
        <v>0</v>
      </c>
    </row>
    <row r="34" spans="2:5" x14ac:dyDescent="0.2">
      <c r="E34" s="13"/>
    </row>
    <row r="35" spans="2:5" ht="15" x14ac:dyDescent="0.25">
      <c r="B35" s="75">
        <v>34</v>
      </c>
      <c r="C35" s="75"/>
      <c r="D35" s="75" t="s">
        <v>97</v>
      </c>
      <c r="E35" s="76">
        <f>SUM(E36:E41)</f>
        <v>156645.15</v>
      </c>
    </row>
    <row r="36" spans="2:5" x14ac:dyDescent="0.2">
      <c r="C36" s="8">
        <v>340</v>
      </c>
      <c r="D36" s="8" t="s">
        <v>98</v>
      </c>
      <c r="E36" s="18">
        <f>HLOOKUP($D$5,'4.1 Comptes 2023 natures'!$E$4:$BC$159,30,0)</f>
        <v>156645.15</v>
      </c>
    </row>
    <row r="37" spans="2:5" x14ac:dyDescent="0.2">
      <c r="C37" s="8">
        <v>341</v>
      </c>
      <c r="D37" s="8" t="s">
        <v>99</v>
      </c>
      <c r="E37" s="18">
        <f>HLOOKUP($D$5,'4.1 Comptes 2023 natures'!$E$4:$BC$159,31,0)</f>
        <v>0</v>
      </c>
    </row>
    <row r="38" spans="2:5" x14ac:dyDescent="0.2">
      <c r="C38" s="8">
        <v>342</v>
      </c>
      <c r="D38" s="8" t="s">
        <v>100</v>
      </c>
      <c r="E38" s="18">
        <f>HLOOKUP($D$5,'4.1 Comptes 2023 natures'!$E$4:$BC$159,32,0)</f>
        <v>0</v>
      </c>
    </row>
    <row r="39" spans="2:5" x14ac:dyDescent="0.2">
      <c r="C39" s="8">
        <v>343</v>
      </c>
      <c r="D39" s="8" t="s">
        <v>101</v>
      </c>
      <c r="E39" s="18">
        <f>HLOOKUP($D$5,'4.1 Comptes 2023 natures'!$E$4:$BC$159,33,0)</f>
        <v>0</v>
      </c>
    </row>
    <row r="40" spans="2:5" x14ac:dyDescent="0.2">
      <c r="C40" s="8">
        <v>344</v>
      </c>
      <c r="D40" s="8" t="s">
        <v>102</v>
      </c>
      <c r="E40" s="18">
        <f>HLOOKUP($D$5,'4.1 Comptes 2023 natures'!$E$4:$BC$159,34,0)</f>
        <v>0</v>
      </c>
    </row>
    <row r="41" spans="2:5" x14ac:dyDescent="0.2">
      <c r="C41" s="8">
        <v>349</v>
      </c>
      <c r="D41" s="8" t="s">
        <v>103</v>
      </c>
      <c r="E41" s="18">
        <f>HLOOKUP($D$5,'4.1 Comptes 2023 natures'!$E$4:$BC$159,35,0)</f>
        <v>0</v>
      </c>
    </row>
    <row r="42" spans="2:5" x14ac:dyDescent="0.2">
      <c r="E42" s="13"/>
    </row>
    <row r="43" spans="2:5" ht="15" x14ac:dyDescent="0.25">
      <c r="B43" s="75">
        <v>35</v>
      </c>
      <c r="C43" s="75"/>
      <c r="D43" s="75" t="s">
        <v>105</v>
      </c>
      <c r="E43" s="76">
        <f>SUM(E44:E45)</f>
        <v>9169.5499999999993</v>
      </c>
    </row>
    <row r="44" spans="2:5" x14ac:dyDescent="0.2">
      <c r="C44" s="8">
        <v>350</v>
      </c>
      <c r="D44" s="8" t="s">
        <v>105</v>
      </c>
      <c r="E44" s="18">
        <f>HLOOKUP($D$5,'4.1 Comptes 2023 natures'!$E$4:$BC$159,38,0)</f>
        <v>0</v>
      </c>
    </row>
    <row r="45" spans="2:5" x14ac:dyDescent="0.2">
      <c r="C45" s="8">
        <v>351</v>
      </c>
      <c r="D45" s="8" t="s">
        <v>104</v>
      </c>
      <c r="E45" s="18">
        <f>HLOOKUP($D$5,'4.1 Comptes 2023 natures'!$E$4:$BC$159,39,0)</f>
        <v>9169.5499999999993</v>
      </c>
    </row>
    <row r="46" spans="2:5" x14ac:dyDescent="0.2">
      <c r="E46" s="13"/>
    </row>
    <row r="47" spans="2:5" ht="15" x14ac:dyDescent="0.25">
      <c r="B47" s="75">
        <v>36</v>
      </c>
      <c r="C47" s="75"/>
      <c r="D47" s="75" t="s">
        <v>106</v>
      </c>
      <c r="E47" s="76">
        <f>SUM(E48:E55)</f>
        <v>2345563.2599999998</v>
      </c>
    </row>
    <row r="48" spans="2:5" x14ac:dyDescent="0.2">
      <c r="C48" s="8">
        <v>360</v>
      </c>
      <c r="D48" s="8" t="s">
        <v>107</v>
      </c>
      <c r="E48" s="18">
        <f>HLOOKUP($D$5,'4.1 Comptes 2023 natures'!$E$4:$BC$159,42,0)</f>
        <v>5729.8</v>
      </c>
    </row>
    <row r="49" spans="2:5" x14ac:dyDescent="0.2">
      <c r="C49" s="8">
        <v>361</v>
      </c>
      <c r="D49" s="8" t="s">
        <v>108</v>
      </c>
      <c r="E49" s="18">
        <f>HLOOKUP($D$5,'4.1 Comptes 2023 natures'!$E$4:$BC$159,43,0)</f>
        <v>1790032.22</v>
      </c>
    </row>
    <row r="50" spans="2:5" x14ac:dyDescent="0.2">
      <c r="C50" s="8">
        <v>362</v>
      </c>
      <c r="D50" s="8" t="s">
        <v>109</v>
      </c>
      <c r="E50" s="18">
        <f>HLOOKUP($D$5,'4.1 Comptes 2023 natures'!$E$4:$BC$159,44,0)</f>
        <v>0</v>
      </c>
    </row>
    <row r="51" spans="2:5" x14ac:dyDescent="0.2">
      <c r="C51" s="8">
        <v>363</v>
      </c>
      <c r="D51" s="8" t="s">
        <v>110</v>
      </c>
      <c r="E51" s="18">
        <f>HLOOKUP($D$5,'4.1 Comptes 2023 natures'!$E$4:$BC$159,45,0)</f>
        <v>541895.94999999995</v>
      </c>
    </row>
    <row r="52" spans="2:5" x14ac:dyDescent="0.2">
      <c r="C52" s="8">
        <v>364</v>
      </c>
      <c r="D52" s="8" t="s">
        <v>111</v>
      </c>
      <c r="E52" s="18">
        <f>HLOOKUP($D$5,'4.1 Comptes 2023 natures'!$E$4:$BC$159,46,0)</f>
        <v>0</v>
      </c>
    </row>
    <row r="53" spans="2:5" x14ac:dyDescent="0.2">
      <c r="C53" s="8">
        <v>365</v>
      </c>
      <c r="D53" s="8" t="s">
        <v>112</v>
      </c>
      <c r="E53" s="18">
        <f>HLOOKUP($D$5,'4.1 Comptes 2023 natures'!$E$4:$BC$159,47,0)</f>
        <v>0</v>
      </c>
    </row>
    <row r="54" spans="2:5" x14ac:dyDescent="0.2">
      <c r="C54" s="8">
        <v>366</v>
      </c>
      <c r="D54" s="8" t="s">
        <v>113</v>
      </c>
      <c r="E54" s="18">
        <f>HLOOKUP($D$5,'4.1 Comptes 2023 natures'!$E$4:$BC$159,48,0)</f>
        <v>7905.29</v>
      </c>
    </row>
    <row r="55" spans="2:5" x14ac:dyDescent="0.2">
      <c r="C55" s="8">
        <v>369</v>
      </c>
      <c r="D55" s="8" t="s">
        <v>114</v>
      </c>
      <c r="E55" s="18">
        <f>HLOOKUP($D$5,'4.1 Comptes 2023 natures'!$E$4:$BC$159,49,0)</f>
        <v>0</v>
      </c>
    </row>
    <row r="56" spans="2:5" x14ac:dyDescent="0.2">
      <c r="E56" s="13"/>
    </row>
    <row r="57" spans="2:5" ht="15" x14ac:dyDescent="0.25">
      <c r="B57" s="75">
        <v>37</v>
      </c>
      <c r="C57" s="75"/>
      <c r="D57" s="75" t="s">
        <v>115</v>
      </c>
      <c r="E57" s="76">
        <f>SUM(E58)</f>
        <v>0</v>
      </c>
    </row>
    <row r="58" spans="2:5" x14ac:dyDescent="0.2">
      <c r="C58" s="8">
        <v>370</v>
      </c>
      <c r="D58" s="8" t="s">
        <v>116</v>
      </c>
      <c r="E58" s="18">
        <f>HLOOKUP($D$5,'4.1 Comptes 2023 natures'!$E$4:$BC$159,52,0)</f>
        <v>0</v>
      </c>
    </row>
    <row r="59" spans="2:5" x14ac:dyDescent="0.2">
      <c r="E59" s="13"/>
    </row>
    <row r="60" spans="2:5" ht="15" x14ac:dyDescent="0.25">
      <c r="B60" s="75">
        <v>38</v>
      </c>
      <c r="C60" s="75"/>
      <c r="D60" s="75" t="s">
        <v>117</v>
      </c>
      <c r="E60" s="76">
        <f>SUM(E61:E66)</f>
        <v>13025.5</v>
      </c>
    </row>
    <row r="61" spans="2:5" x14ac:dyDescent="0.2">
      <c r="C61" s="8">
        <v>380</v>
      </c>
      <c r="D61" s="8" t="s">
        <v>118</v>
      </c>
      <c r="E61" s="18">
        <f>HLOOKUP($D$5,'4.1 Comptes 2023 natures'!$E$4:$BC$159,55,0)</f>
        <v>0</v>
      </c>
    </row>
    <row r="62" spans="2:5" x14ac:dyDescent="0.2">
      <c r="C62" s="8">
        <v>381</v>
      </c>
      <c r="D62" s="8" t="s">
        <v>119</v>
      </c>
      <c r="E62" s="18">
        <f>HLOOKUP($D$5,'4.1 Comptes 2023 natures'!$E$4:$BC$159,56,0)</f>
        <v>0</v>
      </c>
    </row>
    <row r="63" spans="2:5" x14ac:dyDescent="0.2">
      <c r="C63" s="8">
        <v>384</v>
      </c>
      <c r="D63" s="8" t="s">
        <v>120</v>
      </c>
      <c r="E63" s="18">
        <f>HLOOKUP($D$5,'4.1 Comptes 2023 natures'!$E$4:$BC$159,57,0)</f>
        <v>13025.5</v>
      </c>
    </row>
    <row r="64" spans="2:5" x14ac:dyDescent="0.2">
      <c r="C64" s="8">
        <v>385</v>
      </c>
      <c r="D64" s="8" t="s">
        <v>121</v>
      </c>
      <c r="E64" s="18">
        <f>HLOOKUP($D$5,'4.1 Comptes 2023 natures'!$E$4:$BC$159,58,0)</f>
        <v>0</v>
      </c>
    </row>
    <row r="65" spans="1:5" x14ac:dyDescent="0.2">
      <c r="C65" s="8">
        <v>386</v>
      </c>
      <c r="D65" s="8" t="s">
        <v>122</v>
      </c>
      <c r="E65" s="18">
        <f>HLOOKUP($D$5,'4.1 Comptes 2023 natures'!$E$4:$BC$159,59,0)</f>
        <v>0</v>
      </c>
    </row>
    <row r="66" spans="1:5" x14ac:dyDescent="0.2">
      <c r="C66" s="8">
        <v>389</v>
      </c>
      <c r="D66" s="8" t="s">
        <v>286</v>
      </c>
      <c r="E66" s="18">
        <f>HLOOKUP($D$5,'4.1 Comptes 2023 natures'!$E$4:$BC$159,60,0)</f>
        <v>0</v>
      </c>
    </row>
    <row r="67" spans="1:5" x14ac:dyDescent="0.2">
      <c r="E67" s="13"/>
    </row>
    <row r="68" spans="1:5" ht="15" x14ac:dyDescent="0.25">
      <c r="B68" s="75">
        <v>39</v>
      </c>
      <c r="C68" s="75"/>
      <c r="D68" s="75" t="s">
        <v>124</v>
      </c>
      <c r="E68" s="76">
        <f>SUM(E69:E76)</f>
        <v>0</v>
      </c>
    </row>
    <row r="69" spans="1:5" x14ac:dyDescent="0.2">
      <c r="C69" s="8">
        <v>390</v>
      </c>
      <c r="D69" s="8" t="s">
        <v>125</v>
      </c>
      <c r="E69" s="18">
        <f>HLOOKUP($D$5,'4.1 Comptes 2023 natures'!$E$4:$BC$159,63,0)</f>
        <v>0</v>
      </c>
    </row>
    <row r="70" spans="1:5" x14ac:dyDescent="0.2">
      <c r="C70" s="8">
        <v>391</v>
      </c>
      <c r="D70" s="8" t="s">
        <v>126</v>
      </c>
      <c r="E70" s="18">
        <f>HLOOKUP($D$5,'4.1 Comptes 2023 natures'!$E$4:$BC$159,64,0)</f>
        <v>0</v>
      </c>
    </row>
    <row r="71" spans="1:5" x14ac:dyDescent="0.2">
      <c r="C71" s="8">
        <v>392</v>
      </c>
      <c r="D71" s="8" t="s">
        <v>127</v>
      </c>
      <c r="E71" s="18">
        <f>HLOOKUP($D$5,'4.1 Comptes 2023 natures'!$E$4:$BC$159,65,0)</f>
        <v>0</v>
      </c>
    </row>
    <row r="72" spans="1:5" x14ac:dyDescent="0.2">
      <c r="C72" s="8">
        <v>393</v>
      </c>
      <c r="D72" s="8" t="s">
        <v>128</v>
      </c>
      <c r="E72" s="18">
        <f>HLOOKUP($D$5,'4.1 Comptes 2023 natures'!$E$4:$BC$159,66,0)</f>
        <v>0</v>
      </c>
    </row>
    <row r="73" spans="1:5" x14ac:dyDescent="0.2">
      <c r="C73" s="8">
        <v>394</v>
      </c>
      <c r="D73" s="8" t="s">
        <v>129</v>
      </c>
      <c r="E73" s="18">
        <f>HLOOKUP($D$5,'4.1 Comptes 2023 natures'!$E$4:$BC$159,67,0)</f>
        <v>0</v>
      </c>
    </row>
    <row r="74" spans="1:5" x14ac:dyDescent="0.2">
      <c r="C74" s="8">
        <v>395</v>
      </c>
      <c r="D74" s="8" t="s">
        <v>130</v>
      </c>
      <c r="E74" s="18">
        <f>HLOOKUP($D$5,'4.1 Comptes 2023 natures'!$E$4:$BC$159,68,0)</f>
        <v>0</v>
      </c>
    </row>
    <row r="75" spans="1:5" x14ac:dyDescent="0.2">
      <c r="C75" s="8">
        <v>398</v>
      </c>
      <c r="D75" s="8" t="s">
        <v>131</v>
      </c>
      <c r="E75" s="18">
        <f>HLOOKUP($D$5,'4.1 Comptes 2023 natures'!$E$4:$BC$159,69,0)</f>
        <v>0</v>
      </c>
    </row>
    <row r="76" spans="1:5" x14ac:dyDescent="0.2">
      <c r="C76" s="8">
        <v>399</v>
      </c>
      <c r="D76" s="8" t="s">
        <v>132</v>
      </c>
      <c r="E76" s="18">
        <f>HLOOKUP($D$5,'4.1 Comptes 2023 natures'!$E$4:$BC$159,70,0)</f>
        <v>0</v>
      </c>
    </row>
    <row r="77" spans="1:5" x14ac:dyDescent="0.2">
      <c r="E77" s="13"/>
    </row>
    <row r="78" spans="1:5" x14ac:dyDescent="0.2">
      <c r="E78" s="13"/>
    </row>
    <row r="79" spans="1:5" ht="20.25" x14ac:dyDescent="0.3">
      <c r="A79" s="14">
        <v>4</v>
      </c>
      <c r="B79" s="14"/>
      <c r="C79" s="14"/>
      <c r="D79" s="14" t="s">
        <v>133</v>
      </c>
      <c r="E79" s="94">
        <f>HLOOKUP($D$5,'4.1 Comptes 2023 natures'!$E$4:$BC$159,73,0)</f>
        <v>4173515.8</v>
      </c>
    </row>
    <row r="80" spans="1:5" ht="15" x14ac:dyDescent="0.25">
      <c r="A80" s="7"/>
      <c r="B80" s="77">
        <v>40</v>
      </c>
      <c r="C80" s="77"/>
      <c r="D80" s="77" t="s">
        <v>76</v>
      </c>
      <c r="E80" s="78">
        <f>SUM(E81:E84)</f>
        <v>2880010.86</v>
      </c>
    </row>
    <row r="81" spans="2:5" x14ac:dyDescent="0.2">
      <c r="C81" s="8">
        <v>400</v>
      </c>
      <c r="D81" s="8" t="s">
        <v>134</v>
      </c>
      <c r="E81" s="18">
        <f>HLOOKUP($D$5,'4.1 Comptes 2023 natures'!$E$4:$BC$159,75,0)</f>
        <v>2486627.65</v>
      </c>
    </row>
    <row r="82" spans="2:5" x14ac:dyDescent="0.2">
      <c r="C82" s="8">
        <v>401</v>
      </c>
      <c r="D82" s="8" t="s">
        <v>135</v>
      </c>
      <c r="E82" s="18">
        <f>HLOOKUP($D$5,'4.1 Comptes 2023 natures'!$E$4:$BC$159,76,0)</f>
        <v>167849.81</v>
      </c>
    </row>
    <row r="83" spans="2:5" x14ac:dyDescent="0.2">
      <c r="C83" s="8">
        <v>402</v>
      </c>
      <c r="D83" s="8" t="s">
        <v>136</v>
      </c>
      <c r="E83" s="18">
        <f>HLOOKUP($D$5,'4.1 Comptes 2023 natures'!$E$4:$BC$159,77,0)</f>
        <v>212821.75</v>
      </c>
    </row>
    <row r="84" spans="2:5" x14ac:dyDescent="0.2">
      <c r="C84" s="8">
        <v>403</v>
      </c>
      <c r="D84" s="8" t="s">
        <v>137</v>
      </c>
      <c r="E84" s="18">
        <f>HLOOKUP($D$5,'4.1 Comptes 2023 natures'!$E$4:$BC$159,78,0)</f>
        <v>12711.65</v>
      </c>
    </row>
    <row r="85" spans="2:5" x14ac:dyDescent="0.2">
      <c r="E85" s="13"/>
    </row>
    <row r="86" spans="2:5" ht="15" x14ac:dyDescent="0.25">
      <c r="B86" s="77">
        <v>41</v>
      </c>
      <c r="C86" s="77"/>
      <c r="D86" s="77" t="s">
        <v>138</v>
      </c>
      <c r="E86" s="78">
        <f>SUM(E87:E90)</f>
        <v>0</v>
      </c>
    </row>
    <row r="87" spans="2:5" x14ac:dyDescent="0.2">
      <c r="C87" s="8">
        <v>410</v>
      </c>
      <c r="D87" s="8" t="s">
        <v>139</v>
      </c>
      <c r="E87" s="18">
        <f>HLOOKUP($D$5,'4.1 Comptes 2023 natures'!$E$4:$BC$159,81,0)</f>
        <v>0</v>
      </c>
    </row>
    <row r="88" spans="2:5" x14ac:dyDescent="0.2">
      <c r="C88" s="8">
        <v>411</v>
      </c>
      <c r="D88" s="8" t="s">
        <v>140</v>
      </c>
      <c r="E88" s="18">
        <f>HLOOKUP($D$5,'4.1 Comptes 2023 natures'!$E$4:$BC$159,82,0)</f>
        <v>0</v>
      </c>
    </row>
    <row r="89" spans="2:5" x14ac:dyDescent="0.2">
      <c r="C89" s="8">
        <v>412</v>
      </c>
      <c r="D89" s="8" t="s">
        <v>141</v>
      </c>
      <c r="E89" s="18">
        <f>HLOOKUP($D$5,'4.1 Comptes 2023 natures'!$E$4:$BC$159,83,0)</f>
        <v>0</v>
      </c>
    </row>
    <row r="90" spans="2:5" x14ac:dyDescent="0.2">
      <c r="C90" s="8">
        <v>413</v>
      </c>
      <c r="D90" s="8" t="s">
        <v>142</v>
      </c>
      <c r="E90" s="18">
        <f>HLOOKUP($D$5,'4.1 Comptes 2023 natures'!$E$4:$BC$159,84,0)</f>
        <v>0</v>
      </c>
    </row>
    <row r="91" spans="2:5" x14ac:dyDescent="0.2">
      <c r="E91" s="13"/>
    </row>
    <row r="92" spans="2:5" ht="15" x14ac:dyDescent="0.25">
      <c r="B92" s="77">
        <v>42</v>
      </c>
      <c r="C92" s="77"/>
      <c r="D92" s="77" t="s">
        <v>143</v>
      </c>
      <c r="E92" s="78">
        <f>SUM(E93:E101)</f>
        <v>726475.41</v>
      </c>
    </row>
    <row r="93" spans="2:5" x14ac:dyDescent="0.2">
      <c r="C93" s="8">
        <v>420</v>
      </c>
      <c r="D93" s="8" t="s">
        <v>144</v>
      </c>
      <c r="E93" s="18">
        <f>HLOOKUP($D$5,'4.1 Comptes 2023 natures'!$E$4:$BC$159,87,0)</f>
        <v>37584.35</v>
      </c>
    </row>
    <row r="94" spans="2:5" x14ac:dyDescent="0.2">
      <c r="C94" s="8">
        <v>421</v>
      </c>
      <c r="D94" s="8" t="s">
        <v>145</v>
      </c>
      <c r="E94" s="18">
        <f>HLOOKUP($D$5,'4.1 Comptes 2023 natures'!$E$4:$BC$159,88,0)</f>
        <v>12592.43</v>
      </c>
    </row>
    <row r="95" spans="2:5" x14ac:dyDescent="0.2">
      <c r="C95" s="8">
        <v>422</v>
      </c>
      <c r="D95" s="8" t="s">
        <v>146</v>
      </c>
      <c r="E95" s="18">
        <f>HLOOKUP($D$5,'4.1 Comptes 2023 natures'!$E$4:$BC$159,89,0)</f>
        <v>0</v>
      </c>
    </row>
    <row r="96" spans="2:5" x14ac:dyDescent="0.2">
      <c r="C96" s="8">
        <v>423</v>
      </c>
      <c r="D96" s="8" t="s">
        <v>147</v>
      </c>
      <c r="E96" s="18">
        <f>HLOOKUP($D$5,'4.1 Comptes 2023 natures'!$E$4:$BC$159,90,0)</f>
        <v>1360</v>
      </c>
    </row>
    <row r="97" spans="2:5" x14ac:dyDescent="0.2">
      <c r="C97" s="8">
        <v>424</v>
      </c>
      <c r="D97" s="8" t="s">
        <v>148</v>
      </c>
      <c r="E97" s="18">
        <f>HLOOKUP($D$5,'4.1 Comptes 2023 natures'!$E$4:$BC$159,91,0)</f>
        <v>626477.23</v>
      </c>
    </row>
    <row r="98" spans="2:5" x14ac:dyDescent="0.2">
      <c r="C98" s="8">
        <v>425</v>
      </c>
      <c r="D98" s="8" t="s">
        <v>149</v>
      </c>
      <c r="E98" s="18">
        <f>HLOOKUP($D$5,'4.1 Comptes 2023 natures'!$E$4:$BC$159,92,0)</f>
        <v>9021.7999999999993</v>
      </c>
    </row>
    <row r="99" spans="2:5" x14ac:dyDescent="0.2">
      <c r="C99" s="8">
        <v>426</v>
      </c>
      <c r="D99" s="8" t="s">
        <v>150</v>
      </c>
      <c r="E99" s="18">
        <f>HLOOKUP($D$5,'4.1 Comptes 2023 natures'!$E$4:$BC$159,93,0)</f>
        <v>39139.599999999999</v>
      </c>
    </row>
    <row r="100" spans="2:5" x14ac:dyDescent="0.2">
      <c r="C100" s="8">
        <v>427</v>
      </c>
      <c r="D100" s="8" t="s">
        <v>151</v>
      </c>
      <c r="E100" s="18">
        <f>HLOOKUP($D$5,'4.1 Comptes 2023 natures'!$E$4:$BC$159,94,0)</f>
        <v>300</v>
      </c>
    </row>
    <row r="101" spans="2:5" x14ac:dyDescent="0.2">
      <c r="C101" s="8">
        <v>429</v>
      </c>
      <c r="D101" s="8" t="s">
        <v>152</v>
      </c>
      <c r="E101" s="18">
        <f>HLOOKUP($D$5,'4.1 Comptes 2023 natures'!$E$4:$BC$159,95,0)</f>
        <v>0</v>
      </c>
    </row>
    <row r="102" spans="2:5" x14ac:dyDescent="0.2">
      <c r="E102" s="13"/>
    </row>
    <row r="103" spans="2:5" ht="15" x14ac:dyDescent="0.25">
      <c r="B103" s="77">
        <v>43</v>
      </c>
      <c r="C103" s="77"/>
      <c r="D103" s="77" t="s">
        <v>153</v>
      </c>
      <c r="E103" s="78">
        <f>SUM(E104:E107)</f>
        <v>0</v>
      </c>
    </row>
    <row r="104" spans="2:5" x14ac:dyDescent="0.2">
      <c r="C104" s="8">
        <v>430</v>
      </c>
      <c r="D104" s="8" t="s">
        <v>154</v>
      </c>
      <c r="E104" s="18">
        <f>HLOOKUP($D$5,'4.1 Comptes 2023 natures'!$E$4:$BC$159,98,0)</f>
        <v>0</v>
      </c>
    </row>
    <row r="105" spans="2:5" x14ac:dyDescent="0.2">
      <c r="C105" s="8">
        <v>431</v>
      </c>
      <c r="D105" s="8" t="s">
        <v>155</v>
      </c>
      <c r="E105" s="18">
        <f>HLOOKUP($D$5,'4.1 Comptes 2023 natures'!$E$4:$BC$159,99,0)</f>
        <v>0</v>
      </c>
    </row>
    <row r="106" spans="2:5" x14ac:dyDescent="0.2">
      <c r="C106" s="8">
        <v>432</v>
      </c>
      <c r="D106" s="8" t="s">
        <v>156</v>
      </c>
      <c r="E106" s="18">
        <f>HLOOKUP($D$5,'4.1 Comptes 2023 natures'!$E$4:$BC$159,100,0)</f>
        <v>0</v>
      </c>
    </row>
    <row r="107" spans="2:5" x14ac:dyDescent="0.2">
      <c r="C107" s="8">
        <v>439</v>
      </c>
      <c r="D107" s="8" t="s">
        <v>157</v>
      </c>
      <c r="E107" s="18">
        <f>HLOOKUP($D$5,'4.1 Comptes 2023 natures'!$E$4:$BC$159,101,0)</f>
        <v>0</v>
      </c>
    </row>
    <row r="108" spans="2:5" x14ac:dyDescent="0.2">
      <c r="E108" s="13"/>
    </row>
    <row r="109" spans="2:5" ht="15" x14ac:dyDescent="0.25">
      <c r="B109" s="77">
        <v>44</v>
      </c>
      <c r="C109" s="77"/>
      <c r="D109" s="77" t="s">
        <v>158</v>
      </c>
      <c r="E109" s="78">
        <f>SUM(E110:E119)</f>
        <v>67439.509999999995</v>
      </c>
    </row>
    <row r="110" spans="2:5" x14ac:dyDescent="0.2">
      <c r="C110" s="8">
        <v>440</v>
      </c>
      <c r="D110" s="8" t="s">
        <v>159</v>
      </c>
      <c r="E110" s="18">
        <f>HLOOKUP($D$5,'4.1 Comptes 2023 natures'!$E$4:$BC$159,104,0)</f>
        <v>41590.01</v>
      </c>
    </row>
    <row r="111" spans="2:5" x14ac:dyDescent="0.2">
      <c r="C111" s="8">
        <v>441</v>
      </c>
      <c r="D111" s="8" t="s">
        <v>160</v>
      </c>
      <c r="E111" s="18">
        <f>HLOOKUP($D$5,'4.1 Comptes 2023 natures'!$E$4:$BC$159,105,0)</f>
        <v>0</v>
      </c>
    </row>
    <row r="112" spans="2:5" x14ac:dyDescent="0.2">
      <c r="C112" s="8">
        <v>442</v>
      </c>
      <c r="D112" s="8" t="s">
        <v>161</v>
      </c>
      <c r="E112" s="18">
        <f>HLOOKUP($D$5,'4.1 Comptes 2023 natures'!$E$4:$BC$159,106,0)</f>
        <v>1152.2</v>
      </c>
    </row>
    <row r="113" spans="2:5" x14ac:dyDescent="0.2">
      <c r="C113" s="8">
        <v>443</v>
      </c>
      <c r="D113" s="8" t="s">
        <v>162</v>
      </c>
      <c r="E113" s="18">
        <f>HLOOKUP($D$5,'4.1 Comptes 2023 natures'!$E$4:$BC$159,107,0)</f>
        <v>23711.5</v>
      </c>
    </row>
    <row r="114" spans="2:5" x14ac:dyDescent="0.2">
      <c r="C114" s="8">
        <v>444</v>
      </c>
      <c r="D114" s="8" t="s">
        <v>102</v>
      </c>
      <c r="E114" s="18">
        <f>HLOOKUP($D$5,'4.1 Comptes 2023 natures'!$E$4:$BC$159,108,0)</f>
        <v>0</v>
      </c>
    </row>
    <row r="115" spans="2:5" x14ac:dyDescent="0.2">
      <c r="C115" s="8">
        <v>445</v>
      </c>
      <c r="D115" s="8" t="s">
        <v>163</v>
      </c>
      <c r="E115" s="18">
        <f>HLOOKUP($D$5,'4.1 Comptes 2023 natures'!$E$4:$BC$159,109,0)</f>
        <v>0</v>
      </c>
    </row>
    <row r="116" spans="2:5" x14ac:dyDescent="0.2">
      <c r="C116" s="8">
        <v>446</v>
      </c>
      <c r="D116" s="8" t="s">
        <v>164</v>
      </c>
      <c r="E116" s="18">
        <f>HLOOKUP($D$5,'4.1 Comptes 2023 natures'!$E$4:$BC$159,110,0)</f>
        <v>0</v>
      </c>
    </row>
    <row r="117" spans="2:5" x14ac:dyDescent="0.2">
      <c r="C117" s="8">
        <v>447</v>
      </c>
      <c r="D117" s="8" t="s">
        <v>165</v>
      </c>
      <c r="E117" s="18">
        <f>HLOOKUP($D$5,'4.1 Comptes 2023 natures'!$E$4:$BC$159,111,0)</f>
        <v>985.8</v>
      </c>
    </row>
    <row r="118" spans="2:5" x14ac:dyDescent="0.2">
      <c r="C118" s="8">
        <v>448</v>
      </c>
      <c r="D118" s="8" t="s">
        <v>166</v>
      </c>
      <c r="E118" s="18">
        <f>HLOOKUP($D$5,'4.1 Comptes 2023 natures'!$E$4:$BC$159,112,0)</f>
        <v>0</v>
      </c>
    </row>
    <row r="119" spans="2:5" x14ac:dyDescent="0.2">
      <c r="C119" s="8">
        <v>449</v>
      </c>
      <c r="D119" s="8" t="s">
        <v>167</v>
      </c>
      <c r="E119" s="18">
        <f>HLOOKUP($D$5,'4.1 Comptes 2023 natures'!$E$4:$BC$159,113,0)</f>
        <v>0</v>
      </c>
    </row>
    <row r="120" spans="2:5" x14ac:dyDescent="0.2">
      <c r="E120" s="13"/>
    </row>
    <row r="121" spans="2:5" ht="15" x14ac:dyDescent="0.25">
      <c r="B121" s="77">
        <v>45</v>
      </c>
      <c r="C121" s="77"/>
      <c r="D121" s="77" t="s">
        <v>170</v>
      </c>
      <c r="E121" s="78">
        <f>SUM(E122:E123)</f>
        <v>12959.55</v>
      </c>
    </row>
    <row r="122" spans="2:5" x14ac:dyDescent="0.2">
      <c r="C122" s="8">
        <v>450</v>
      </c>
      <c r="D122" s="8" t="s">
        <v>168</v>
      </c>
      <c r="E122" s="18">
        <f>HLOOKUP($D$5,'4.1 Comptes 2023 natures'!$E$4:$BC$159,116,0)</f>
        <v>5409.5</v>
      </c>
    </row>
    <row r="123" spans="2:5" x14ac:dyDescent="0.2">
      <c r="C123" s="8">
        <v>451</v>
      </c>
      <c r="D123" s="8" t="s">
        <v>169</v>
      </c>
      <c r="E123" s="18">
        <f>HLOOKUP($D$5,'4.1 Comptes 2023 natures'!$E$4:$BC$159,117,0)</f>
        <v>7550.05</v>
      </c>
    </row>
    <row r="124" spans="2:5" x14ac:dyDescent="0.2">
      <c r="E124" s="13"/>
    </row>
    <row r="125" spans="2:5" ht="15" x14ac:dyDescent="0.25">
      <c r="B125" s="77">
        <v>46</v>
      </c>
      <c r="C125" s="77"/>
      <c r="D125" s="77" t="s">
        <v>171</v>
      </c>
      <c r="E125" s="78">
        <f>SUM(E126:E130)</f>
        <v>479157.6</v>
      </c>
    </row>
    <row r="126" spans="2:5" x14ac:dyDescent="0.2">
      <c r="C126" s="8">
        <v>460</v>
      </c>
      <c r="D126" s="8" t="s">
        <v>172</v>
      </c>
      <c r="E126" s="18">
        <f>HLOOKUP($D$5,'4.1 Comptes 2023 natures'!$E$4:$BC$159,120,0)</f>
        <v>8846</v>
      </c>
    </row>
    <row r="127" spans="2:5" x14ac:dyDescent="0.2">
      <c r="C127" s="8">
        <v>461</v>
      </c>
      <c r="D127" s="8" t="s">
        <v>173</v>
      </c>
      <c r="E127" s="18">
        <f>HLOOKUP($D$5,'4.1 Comptes 2023 natures'!$E$4:$BC$159,121,0)</f>
        <v>346531.5</v>
      </c>
    </row>
    <row r="128" spans="2:5" x14ac:dyDescent="0.2">
      <c r="C128" s="8">
        <v>462</v>
      </c>
      <c r="D128" s="8" t="s">
        <v>109</v>
      </c>
      <c r="E128" s="18">
        <f>HLOOKUP($D$5,'4.1 Comptes 2023 natures'!$E$4:$BC$159,122,0)</f>
        <v>21092</v>
      </c>
    </row>
    <row r="129" spans="2:5" x14ac:dyDescent="0.2">
      <c r="C129" s="8">
        <v>463</v>
      </c>
      <c r="D129" s="8" t="s">
        <v>174</v>
      </c>
      <c r="E129" s="18">
        <f>HLOOKUP($D$5,'4.1 Comptes 2023 natures'!$E$4:$BC$159,123,0)</f>
        <v>102435.05</v>
      </c>
    </row>
    <row r="130" spans="2:5" x14ac:dyDescent="0.2">
      <c r="C130" s="8">
        <v>469</v>
      </c>
      <c r="D130" s="8" t="s">
        <v>175</v>
      </c>
      <c r="E130" s="18">
        <f>HLOOKUP($D$5,'4.1 Comptes 2023 natures'!$E$4:$BC$159,124,0)</f>
        <v>253.05</v>
      </c>
    </row>
    <row r="131" spans="2:5" x14ac:dyDescent="0.2">
      <c r="E131" s="13"/>
    </row>
    <row r="132" spans="2:5" ht="15" x14ac:dyDescent="0.25">
      <c r="B132" s="77">
        <v>47</v>
      </c>
      <c r="C132" s="77"/>
      <c r="D132" s="77" t="s">
        <v>115</v>
      </c>
      <c r="E132" s="78">
        <f>SUM(E133)</f>
        <v>0</v>
      </c>
    </row>
    <row r="133" spans="2:5" x14ac:dyDescent="0.2">
      <c r="C133" s="8">
        <v>470</v>
      </c>
      <c r="D133" s="8" t="s">
        <v>176</v>
      </c>
      <c r="E133" s="18">
        <f>HLOOKUP($D$5,'4.1 Comptes 2023 natures'!$E$4:$BC$159,127,0)</f>
        <v>0</v>
      </c>
    </row>
    <row r="134" spans="2:5" x14ac:dyDescent="0.2">
      <c r="E134" s="13"/>
    </row>
    <row r="135" spans="2:5" ht="15" x14ac:dyDescent="0.25">
      <c r="B135" s="77">
        <v>48</v>
      </c>
      <c r="C135" s="77"/>
      <c r="D135" s="77" t="s">
        <v>177</v>
      </c>
      <c r="E135" s="78">
        <f>SUM(E136:E142)</f>
        <v>7472.87</v>
      </c>
    </row>
    <row r="136" spans="2:5" x14ac:dyDescent="0.2">
      <c r="C136" s="8">
        <v>481</v>
      </c>
      <c r="D136" s="8" t="s">
        <v>178</v>
      </c>
      <c r="E136" s="18">
        <f>HLOOKUP($D$5,'4.1 Comptes 2023 natures'!$E$4:$BC$159,130,0)</f>
        <v>0</v>
      </c>
    </row>
    <row r="137" spans="2:5" x14ac:dyDescent="0.2">
      <c r="C137" s="8">
        <v>482</v>
      </c>
      <c r="D137" s="8" t="s">
        <v>179</v>
      </c>
      <c r="E137" s="18">
        <f>HLOOKUP($D$5,'4.1 Comptes 2023 natures'!$E$4:$BC$159,131,0)</f>
        <v>0</v>
      </c>
    </row>
    <row r="138" spans="2:5" x14ac:dyDescent="0.2">
      <c r="C138" s="8">
        <v>483</v>
      </c>
      <c r="D138" s="8" t="s">
        <v>180</v>
      </c>
      <c r="E138" s="18">
        <f>HLOOKUP($D$5,'4.1 Comptes 2023 natures'!$E$4:$BC$159,132,0)</f>
        <v>0</v>
      </c>
    </row>
    <row r="139" spans="2:5" x14ac:dyDescent="0.2">
      <c r="C139" s="8">
        <v>484</v>
      </c>
      <c r="D139" s="8" t="s">
        <v>181</v>
      </c>
      <c r="E139" s="18">
        <f>HLOOKUP($D$5,'4.1 Comptes 2023 natures'!$E$4:$BC$159,133,0)</f>
        <v>0</v>
      </c>
    </row>
    <row r="140" spans="2:5" x14ac:dyDescent="0.2">
      <c r="C140" s="8">
        <v>485</v>
      </c>
      <c r="D140" s="8" t="s">
        <v>182</v>
      </c>
      <c r="E140" s="18">
        <f>HLOOKUP($D$5,'4.1 Comptes 2023 natures'!$E$4:$BC$159,134,0)</f>
        <v>0</v>
      </c>
    </row>
    <row r="141" spans="2:5" x14ac:dyDescent="0.2">
      <c r="C141" s="8">
        <v>486</v>
      </c>
      <c r="D141" s="8" t="s">
        <v>183</v>
      </c>
      <c r="E141" s="18">
        <f>HLOOKUP($D$5,'4.1 Comptes 2023 natures'!$E$4:$BC$159,135,0)</f>
        <v>0</v>
      </c>
    </row>
    <row r="142" spans="2:5" x14ac:dyDescent="0.2">
      <c r="C142" s="8">
        <v>489</v>
      </c>
      <c r="D142" s="8" t="s">
        <v>184</v>
      </c>
      <c r="E142" s="18">
        <f>HLOOKUP($D$5,'4.1 Comptes 2023 natures'!$E$4:$BC$159,136,0)</f>
        <v>7472.87</v>
      </c>
    </row>
    <row r="143" spans="2:5" x14ac:dyDescent="0.2">
      <c r="E143" s="13"/>
    </row>
    <row r="144" spans="2:5" ht="15" x14ac:dyDescent="0.25">
      <c r="B144" s="77">
        <v>49</v>
      </c>
      <c r="C144" s="77"/>
      <c r="D144" s="77" t="s">
        <v>124</v>
      </c>
      <c r="E144" s="78">
        <f>SUM(E145:E152)</f>
        <v>0</v>
      </c>
    </row>
    <row r="145" spans="1:5" x14ac:dyDescent="0.2">
      <c r="C145" s="8">
        <v>490</v>
      </c>
      <c r="D145" s="8" t="s">
        <v>125</v>
      </c>
      <c r="E145" s="18">
        <f>HLOOKUP($D$5,'4.1 Comptes 2023 natures'!$E$4:$BC$159,139,0)</f>
        <v>0</v>
      </c>
    </row>
    <row r="146" spans="1:5" x14ac:dyDescent="0.2">
      <c r="C146" s="8">
        <v>491</v>
      </c>
      <c r="D146" s="8" t="s">
        <v>126</v>
      </c>
      <c r="E146" s="18">
        <f>HLOOKUP($D$5,'4.1 Comptes 2023 natures'!$E$4:$BC$159,140,0)</f>
        <v>0</v>
      </c>
    </row>
    <row r="147" spans="1:5" x14ac:dyDescent="0.2">
      <c r="C147" s="8">
        <v>492</v>
      </c>
      <c r="D147" s="8" t="s">
        <v>185</v>
      </c>
      <c r="E147" s="18">
        <f>HLOOKUP($D$5,'4.1 Comptes 2023 natures'!$E$4:$BC$159,141,0)</f>
        <v>0</v>
      </c>
    </row>
    <row r="148" spans="1:5" x14ac:dyDescent="0.2">
      <c r="C148" s="8">
        <v>493</v>
      </c>
      <c r="D148" s="8" t="s">
        <v>186</v>
      </c>
      <c r="E148" s="18">
        <f>HLOOKUP($D$5,'4.1 Comptes 2023 natures'!$E$4:$BC$159,142,0)</f>
        <v>0</v>
      </c>
    </row>
    <row r="149" spans="1:5" x14ac:dyDescent="0.2">
      <c r="C149" s="8">
        <v>494</v>
      </c>
      <c r="D149" s="8" t="s">
        <v>129</v>
      </c>
      <c r="E149" s="18">
        <f>HLOOKUP($D$5,'4.1 Comptes 2023 natures'!$E$4:$BC$159,143,0)</f>
        <v>0</v>
      </c>
    </row>
    <row r="150" spans="1:5" x14ac:dyDescent="0.2">
      <c r="C150" s="8">
        <v>495</v>
      </c>
      <c r="D150" s="8" t="s">
        <v>187</v>
      </c>
      <c r="E150" s="18">
        <f>HLOOKUP($D$5,'4.1 Comptes 2023 natures'!$E$4:$BC$159,144,0)</f>
        <v>0</v>
      </c>
    </row>
    <row r="151" spans="1:5" x14ac:dyDescent="0.2">
      <c r="C151" s="8">
        <v>498</v>
      </c>
      <c r="D151" s="8" t="s">
        <v>188</v>
      </c>
      <c r="E151" s="18">
        <f>HLOOKUP($D$5,'4.1 Comptes 2023 natures'!$E$4:$BC$159,145,0)</f>
        <v>0</v>
      </c>
    </row>
    <row r="152" spans="1:5" x14ac:dyDescent="0.2">
      <c r="C152" s="8">
        <v>499</v>
      </c>
      <c r="D152" s="8" t="s">
        <v>132</v>
      </c>
      <c r="E152" s="18">
        <f>HLOOKUP($D$5,'4.1 Comptes 2023 natures'!$E$4:$BC$159,146,0)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297580.15000000002</v>
      </c>
    </row>
    <row r="158" spans="1:5" x14ac:dyDescent="0.2">
      <c r="C158" s="8">
        <v>900</v>
      </c>
      <c r="D158" s="8" t="s">
        <v>192</v>
      </c>
      <c r="E158" s="18">
        <f>HLOOKUP($D$5,'4.1 Comptes 2023 natures'!$E$4:$BC$159,152,0)</f>
        <v>23179.87</v>
      </c>
    </row>
    <row r="159" spans="1:5" x14ac:dyDescent="0.2">
      <c r="C159" s="8">
        <v>901</v>
      </c>
      <c r="D159" s="8" t="s">
        <v>193</v>
      </c>
      <c r="E159" s="18">
        <f>HLOOKUP($D$5,'4.1 Comptes 2023 natures'!$E$4:$BC$159,153,0)</f>
        <v>274400.28000000003</v>
      </c>
    </row>
    <row r="160" spans="1:5" x14ac:dyDescent="0.2">
      <c r="E160" s="13"/>
    </row>
    <row r="161" spans="4:5" ht="15" x14ac:dyDescent="0.25">
      <c r="D161" s="7" t="s">
        <v>194</v>
      </c>
      <c r="E161" s="95">
        <f>HLOOKUP($D$5,'4.1 Comptes 2023 natures'!$E$4:$BC$159,155,0)</f>
        <v>297580.15000000002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D5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2" t="s">
        <v>852</v>
      </c>
      <c r="B1" s="7"/>
      <c r="C1" s="7"/>
      <c r="D1" s="7"/>
    </row>
    <row r="3" spans="1:5" ht="15.75" thickBot="1" x14ac:dyDescent="0.3">
      <c r="D3" s="201" t="s">
        <v>581</v>
      </c>
    </row>
    <row r="4" spans="1:5" ht="15.75" thickBot="1" x14ac:dyDescent="0.3">
      <c r="A4" s="8" t="s">
        <v>621</v>
      </c>
      <c r="D4" s="92" t="s">
        <v>27</v>
      </c>
    </row>
    <row r="6" spans="1:5" ht="15" x14ac:dyDescent="0.25">
      <c r="E6" s="30" t="s">
        <v>198</v>
      </c>
    </row>
    <row r="7" spans="1:5" ht="20.25" x14ac:dyDescent="0.3">
      <c r="A7" s="11">
        <v>3</v>
      </c>
      <c r="B7" s="11"/>
      <c r="C7" s="11"/>
      <c r="D7" s="11" t="s">
        <v>59</v>
      </c>
      <c r="E7" s="203">
        <f>HLOOKUP($D$4,'4.9 Comptes 2023 par habitant'!$E$4:$BC$159,2,0)</f>
        <v>9589.6744901483653</v>
      </c>
    </row>
    <row r="8" spans="1:5" ht="15" x14ac:dyDescent="0.25">
      <c r="A8" s="75"/>
      <c r="B8" s="75">
        <v>30</v>
      </c>
      <c r="C8" s="75"/>
      <c r="D8" s="75" t="s">
        <v>60</v>
      </c>
      <c r="E8" s="199">
        <f>SUM(E9:E16)</f>
        <v>1998.4497645027081</v>
      </c>
    </row>
    <row r="9" spans="1:5" x14ac:dyDescent="0.2">
      <c r="C9" s="8">
        <v>300</v>
      </c>
      <c r="D9" s="8" t="s">
        <v>77</v>
      </c>
      <c r="E9" s="135">
        <f>HLOOKUP($D$4,'4.9 Comptes 2023 par habitant'!$E$4:$BC$159,4,0)</f>
        <v>51.997056283852736</v>
      </c>
    </row>
    <row r="10" spans="1:5" x14ac:dyDescent="0.2">
      <c r="C10" s="8">
        <v>301</v>
      </c>
      <c r="D10" s="8" t="s">
        <v>78</v>
      </c>
      <c r="E10" s="135">
        <f>HLOOKUP($D$4,'4.9 Comptes 2023 par habitant'!$E$4:$BC$159,5,0)</f>
        <v>1594.8961943637648</v>
      </c>
    </row>
    <row r="11" spans="1:5" x14ac:dyDescent="0.2">
      <c r="C11" s="8">
        <v>302</v>
      </c>
      <c r="D11" s="8" t="s">
        <v>79</v>
      </c>
      <c r="E11" s="135">
        <f>HLOOKUP($D$4,'4.9 Comptes 2023 par habitant'!$E$4:$BC$159,6,0)</f>
        <v>0</v>
      </c>
    </row>
    <row r="12" spans="1:5" x14ac:dyDescent="0.2">
      <c r="C12" s="8">
        <v>303</v>
      </c>
      <c r="D12" s="8" t="s">
        <v>80</v>
      </c>
      <c r="E12" s="135">
        <f>HLOOKUP($D$4,'4.9 Comptes 2023 par habitant'!$E$4:$BC$159,7,0)</f>
        <v>0</v>
      </c>
    </row>
    <row r="13" spans="1:5" x14ac:dyDescent="0.2">
      <c r="C13" s="8">
        <v>304</v>
      </c>
      <c r="D13" s="8" t="s">
        <v>572</v>
      </c>
      <c r="E13" s="135">
        <f>HLOOKUP($D$4,'4.9 Comptes 2023 par habitant'!$E$4:$BC$159,8,0)</f>
        <v>0</v>
      </c>
    </row>
    <row r="14" spans="1:5" x14ac:dyDescent="0.2">
      <c r="C14" s="8">
        <v>305</v>
      </c>
      <c r="D14" s="8" t="s">
        <v>81</v>
      </c>
      <c r="E14" s="135">
        <f>HLOOKUP($D$4,'4.9 Comptes 2023 par habitant'!$E$4:$BC$159,9,0)</f>
        <v>328.8475665279849</v>
      </c>
    </row>
    <row r="15" spans="1:5" x14ac:dyDescent="0.2">
      <c r="C15" s="8">
        <v>306</v>
      </c>
      <c r="D15" s="8" t="s">
        <v>82</v>
      </c>
      <c r="E15" s="135">
        <f>HLOOKUP($D$4,'4.9 Comptes 2023 par habitant'!$E$4:$BC$159,10,0)</f>
        <v>3.490391710495329</v>
      </c>
    </row>
    <row r="16" spans="1:5" x14ac:dyDescent="0.2">
      <c r="C16" s="8">
        <v>309</v>
      </c>
      <c r="D16" s="8" t="s">
        <v>83</v>
      </c>
      <c r="E16" s="135">
        <f>HLOOKUP($D$4,'4.9 Comptes 2023 par habitant'!$E$4:$BC$159,11,0)</f>
        <v>19.218555616610409</v>
      </c>
    </row>
    <row r="17" spans="2:5" x14ac:dyDescent="0.2">
      <c r="E17" s="19"/>
    </row>
    <row r="18" spans="2:5" ht="15" x14ac:dyDescent="0.25">
      <c r="B18" s="75">
        <v>31</v>
      </c>
      <c r="C18" s="75"/>
      <c r="D18" s="75" t="s">
        <v>84</v>
      </c>
      <c r="E18" s="199">
        <f>SUM(E19:E28)</f>
        <v>2961.4833479864983</v>
      </c>
    </row>
    <row r="19" spans="2:5" x14ac:dyDescent="0.2">
      <c r="C19" s="8">
        <v>310</v>
      </c>
      <c r="D19" s="8" t="s">
        <v>85</v>
      </c>
      <c r="E19" s="135">
        <f>HLOOKUP($D$4,'4.9 Comptes 2023 par habitant'!$E$4:$BC$159,14,0)</f>
        <v>155.05356542899759</v>
      </c>
    </row>
    <row r="20" spans="2:5" x14ac:dyDescent="0.2">
      <c r="C20" s="8">
        <v>311</v>
      </c>
      <c r="D20" s="8" t="s">
        <v>446</v>
      </c>
      <c r="E20" s="135">
        <f>HLOOKUP($D$4,'4.9 Comptes 2023 par habitant'!$E$4:$BC$159,15,0)</f>
        <v>33.63940890179763</v>
      </c>
    </row>
    <row r="21" spans="2:5" x14ac:dyDescent="0.2">
      <c r="C21" s="8">
        <v>312</v>
      </c>
      <c r="D21" s="8" t="s">
        <v>87</v>
      </c>
      <c r="E21" s="135">
        <f>HLOOKUP($D$4,'4.9 Comptes 2023 par habitant'!$E$4:$BC$159,16,0)</f>
        <v>2222.2290595808149</v>
      </c>
    </row>
    <row r="22" spans="2:5" x14ac:dyDescent="0.2">
      <c r="C22" s="8">
        <v>313</v>
      </c>
      <c r="D22" s="8" t="s">
        <v>88</v>
      </c>
      <c r="E22" s="135">
        <f>HLOOKUP($D$4,'4.9 Comptes 2023 par habitant'!$E$4:$BC$159,17,0)</f>
        <v>275.43847397754928</v>
      </c>
    </row>
    <row r="23" spans="2:5" x14ac:dyDescent="0.2">
      <c r="C23" s="8">
        <v>314</v>
      </c>
      <c r="D23" s="8" t="s">
        <v>814</v>
      </c>
      <c r="E23" s="135">
        <f>HLOOKUP($D$4,'4.9 Comptes 2023 par habitant'!$E$4:$BC$159,18,0)</f>
        <v>84.317894654211472</v>
      </c>
    </row>
    <row r="24" spans="2:5" x14ac:dyDescent="0.2">
      <c r="C24" s="8">
        <v>315</v>
      </c>
      <c r="D24" s="8" t="s">
        <v>89</v>
      </c>
      <c r="E24" s="135">
        <f>HLOOKUP($D$4,'4.9 Comptes 2023 par habitant'!$E$4:$BC$159,19,0)</f>
        <v>75.528823298532075</v>
      </c>
    </row>
    <row r="25" spans="2:5" x14ac:dyDescent="0.2">
      <c r="C25" s="8">
        <v>316</v>
      </c>
      <c r="D25" s="8" t="s">
        <v>90</v>
      </c>
      <c r="E25" s="135">
        <f>HLOOKUP($D$4,'4.9 Comptes 2023 par habitant'!$E$4:$BC$159,20,0)</f>
        <v>60.734217756495795</v>
      </c>
    </row>
    <row r="26" spans="2:5" x14ac:dyDescent="0.2">
      <c r="C26" s="8">
        <v>317</v>
      </c>
      <c r="D26" s="8" t="s">
        <v>91</v>
      </c>
      <c r="E26" s="135">
        <f>HLOOKUP($D$4,'4.9 Comptes 2023 par habitant'!$E$4:$BC$159,21,0)</f>
        <v>5.8331297590077718</v>
      </c>
    </row>
    <row r="27" spans="2:5" x14ac:dyDescent="0.2">
      <c r="C27" s="8">
        <v>318</v>
      </c>
      <c r="D27" s="8" t="s">
        <v>92</v>
      </c>
      <c r="E27" s="135">
        <f>HLOOKUP($D$4,'4.9 Comptes 2023 par habitant'!$E$4:$BC$159,22,0)</f>
        <v>36.705599340607584</v>
      </c>
    </row>
    <row r="28" spans="2:5" x14ac:dyDescent="0.2">
      <c r="C28" s="8">
        <v>319</v>
      </c>
      <c r="D28" s="8" t="s">
        <v>93</v>
      </c>
      <c r="E28" s="135">
        <f>HLOOKUP($D$4,'4.9 Comptes 2023 par habitant'!$E$4:$BC$159,23,0)</f>
        <v>12.003175288484183</v>
      </c>
    </row>
    <row r="29" spans="2:5" x14ac:dyDescent="0.2">
      <c r="E29" s="19"/>
    </row>
    <row r="30" spans="2:5" ht="15" x14ac:dyDescent="0.25">
      <c r="B30" s="75">
        <v>33</v>
      </c>
      <c r="C30" s="75"/>
      <c r="D30" s="75" t="s">
        <v>94</v>
      </c>
      <c r="E30" s="199">
        <f>SUM(E31:E32)</f>
        <v>500.64676348221991</v>
      </c>
    </row>
    <row r="31" spans="2:5" x14ac:dyDescent="0.2">
      <c r="C31" s="8">
        <v>330</v>
      </c>
      <c r="D31" s="8" t="s">
        <v>96</v>
      </c>
      <c r="E31" s="135">
        <f>HLOOKUP($D$4,'4.9 Comptes 2023 par habitant'!$E$4:$BC$159,26,0)</f>
        <v>491.4581796059345</v>
      </c>
    </row>
    <row r="32" spans="2:5" x14ac:dyDescent="0.2">
      <c r="C32" s="8">
        <v>332</v>
      </c>
      <c r="D32" s="8" t="s">
        <v>95</v>
      </c>
      <c r="E32" s="135">
        <f>HLOOKUP($D$4,'4.9 Comptes 2023 par habitant'!$E$4:$BC$159,27,0)</f>
        <v>9.1885838762854224</v>
      </c>
    </row>
    <row r="33" spans="2:5" x14ac:dyDescent="0.2">
      <c r="E33" s="19"/>
    </row>
    <row r="34" spans="2:5" ht="15" x14ac:dyDescent="0.25">
      <c r="B34" s="75">
        <v>34</v>
      </c>
      <c r="C34" s="75"/>
      <c r="D34" s="75" t="s">
        <v>97</v>
      </c>
      <c r="E34" s="199">
        <f>SUM(E35:E40)</f>
        <v>246.29711594316666</v>
      </c>
    </row>
    <row r="35" spans="2:5" x14ac:dyDescent="0.2">
      <c r="C35" s="8">
        <v>340</v>
      </c>
      <c r="D35" s="8" t="s">
        <v>98</v>
      </c>
      <c r="E35" s="135">
        <f>HLOOKUP($D$4,'4.9 Comptes 2023 par habitant'!$E$4:$BC$159,30,0)</f>
        <v>198.56747939398699</v>
      </c>
    </row>
    <row r="36" spans="2:5" x14ac:dyDescent="0.2">
      <c r="C36" s="8">
        <v>341</v>
      </c>
      <c r="D36" s="8" t="s">
        <v>99</v>
      </c>
      <c r="E36" s="135">
        <f>HLOOKUP($D$4,'4.9 Comptes 2023 par habitant'!$E$4:$BC$159,31,0)</f>
        <v>0</v>
      </c>
    </row>
    <row r="37" spans="2:5" x14ac:dyDescent="0.2">
      <c r="C37" s="8">
        <v>342</v>
      </c>
      <c r="D37" s="8" t="s">
        <v>100</v>
      </c>
      <c r="E37" s="135">
        <f>HLOOKUP($D$4,'4.9 Comptes 2023 par habitant'!$E$4:$BC$159,32,0)</f>
        <v>0</v>
      </c>
    </row>
    <row r="38" spans="2:5" x14ac:dyDescent="0.2">
      <c r="C38" s="8">
        <v>343</v>
      </c>
      <c r="D38" s="8" t="s">
        <v>101</v>
      </c>
      <c r="E38" s="135">
        <f>HLOOKUP($D$4,'4.9 Comptes 2023 par habitant'!$E$4:$BC$159,33,0)</f>
        <v>47.729636549179681</v>
      </c>
    </row>
    <row r="39" spans="2:5" x14ac:dyDescent="0.2">
      <c r="C39" s="8">
        <v>344</v>
      </c>
      <c r="D39" s="8" t="s">
        <v>102</v>
      </c>
      <c r="E39" s="135">
        <f>HLOOKUP($D$4,'4.9 Comptes 2023 par habitant'!$E$4:$BC$159,34,0)</f>
        <v>0</v>
      </c>
    </row>
    <row r="40" spans="2:5" x14ac:dyDescent="0.2">
      <c r="C40" s="8">
        <v>349</v>
      </c>
      <c r="D40" s="8" t="s">
        <v>103</v>
      </c>
      <c r="E40" s="135">
        <f>HLOOKUP($D$4,'4.9 Comptes 2023 par habitant'!$E$4:$BC$159,35,0)</f>
        <v>0</v>
      </c>
    </row>
    <row r="41" spans="2:5" x14ac:dyDescent="0.2">
      <c r="E41" s="19"/>
    </row>
    <row r="42" spans="2:5" ht="15" x14ac:dyDescent="0.25">
      <c r="B42" s="75">
        <v>35</v>
      </c>
      <c r="C42" s="75"/>
      <c r="D42" s="75" t="s">
        <v>105</v>
      </c>
      <c r="E42" s="199">
        <f>SUM(E43:E44)</f>
        <v>0</v>
      </c>
    </row>
    <row r="43" spans="2:5" x14ac:dyDescent="0.2">
      <c r="C43" s="8">
        <v>350</v>
      </c>
      <c r="D43" s="8" t="s">
        <v>105</v>
      </c>
      <c r="E43" s="135">
        <f>HLOOKUP($D$4,'4.9 Comptes 2023 par habitant'!$E$4:$BC$159,38,0)</f>
        <v>0</v>
      </c>
    </row>
    <row r="44" spans="2:5" x14ac:dyDescent="0.2">
      <c r="C44" s="8">
        <v>351</v>
      </c>
      <c r="D44" s="8" t="s">
        <v>104</v>
      </c>
      <c r="E44" s="135">
        <f>HLOOKUP($D$4,'4.9 Comptes 2023 par habitant'!$E$4:$BC$159,39,0)</f>
        <v>0</v>
      </c>
    </row>
    <row r="45" spans="2:5" x14ac:dyDescent="0.2">
      <c r="E45" s="19"/>
    </row>
    <row r="46" spans="2:5" ht="15" x14ac:dyDescent="0.25">
      <c r="B46" s="75">
        <v>36</v>
      </c>
      <c r="C46" s="75"/>
      <c r="D46" s="75" t="s">
        <v>106</v>
      </c>
      <c r="E46" s="199">
        <f>SUM(E47:E54)</f>
        <v>3483.9281066017738</v>
      </c>
    </row>
    <row r="47" spans="2:5" x14ac:dyDescent="0.2">
      <c r="C47" s="8">
        <v>360</v>
      </c>
      <c r="D47" s="8" t="s">
        <v>107</v>
      </c>
      <c r="E47" s="135">
        <f>HLOOKUP($D$4,'4.9 Comptes 2023 par habitant'!$E$4:$BC$159,42,0)</f>
        <v>2.0862430332051183</v>
      </c>
    </row>
    <row r="48" spans="2:5" x14ac:dyDescent="0.2">
      <c r="C48" s="8">
        <v>361</v>
      </c>
      <c r="D48" s="8" t="s">
        <v>108</v>
      </c>
      <c r="E48" s="135">
        <f>HLOOKUP($D$4,'4.9 Comptes 2023 par habitant'!$E$4:$BC$159,43,0)</f>
        <v>1515.943352696444</v>
      </c>
    </row>
    <row r="49" spans="2:5" x14ac:dyDescent="0.2">
      <c r="C49" s="8">
        <v>362</v>
      </c>
      <c r="D49" s="8" t="s">
        <v>109</v>
      </c>
      <c r="E49" s="135">
        <f>HLOOKUP($D$4,'4.9 Comptes 2023 par habitant'!$E$4:$BC$159,44,0)</f>
        <v>67.555459612214463</v>
      </c>
    </row>
    <row r="50" spans="2:5" x14ac:dyDescent="0.2">
      <c r="C50" s="8">
        <v>363</v>
      </c>
      <c r="D50" s="8" t="s">
        <v>110</v>
      </c>
      <c r="E50" s="135">
        <f>HLOOKUP($D$4,'4.9 Comptes 2023 par habitant'!$E$4:$BC$159,45,0)</f>
        <v>1484.6347484103933</v>
      </c>
    </row>
    <row r="51" spans="2:5" x14ac:dyDescent="0.2">
      <c r="C51" s="8">
        <v>364</v>
      </c>
      <c r="D51" s="8" t="s">
        <v>111</v>
      </c>
      <c r="E51" s="135">
        <f>HLOOKUP($D$4,'4.9 Comptes 2023 par habitant'!$E$4:$BC$159,46,0)</f>
        <v>0</v>
      </c>
    </row>
    <row r="52" spans="2:5" x14ac:dyDescent="0.2">
      <c r="C52" s="8">
        <v>365</v>
      </c>
      <c r="D52" s="8" t="s">
        <v>112</v>
      </c>
      <c r="E52" s="135">
        <f>HLOOKUP($D$4,'4.9 Comptes 2023 par habitant'!$E$4:$BC$159,47,0)</f>
        <v>0</v>
      </c>
    </row>
    <row r="53" spans="2:5" x14ac:dyDescent="0.2">
      <c r="C53" s="8">
        <v>366</v>
      </c>
      <c r="D53" s="8" t="s">
        <v>113</v>
      </c>
      <c r="E53" s="135">
        <f>HLOOKUP($D$4,'4.9 Comptes 2023 par habitant'!$E$4:$BC$159,48,0)</f>
        <v>47.406311327419736</v>
      </c>
    </row>
    <row r="54" spans="2:5" x14ac:dyDescent="0.2">
      <c r="C54" s="8">
        <v>369</v>
      </c>
      <c r="D54" s="8" t="s">
        <v>114</v>
      </c>
      <c r="E54" s="135">
        <f>HLOOKUP($D$4,'4.9 Comptes 2023 par habitant'!$E$4:$BC$159,49,0)</f>
        <v>366.30199152209752</v>
      </c>
    </row>
    <row r="55" spans="2:5" x14ac:dyDescent="0.2">
      <c r="E55" s="19"/>
    </row>
    <row r="56" spans="2:5" ht="15" x14ac:dyDescent="0.25">
      <c r="B56" s="75">
        <v>37</v>
      </c>
      <c r="C56" s="75"/>
      <c r="D56" s="75" t="s">
        <v>115</v>
      </c>
      <c r="E56" s="199">
        <f>SUM(E57)</f>
        <v>0</v>
      </c>
    </row>
    <row r="57" spans="2:5" x14ac:dyDescent="0.2">
      <c r="C57" s="8">
        <v>370</v>
      </c>
      <c r="D57" s="8" t="s">
        <v>116</v>
      </c>
      <c r="E57" s="135">
        <f>HLOOKUP($D$4,'4.9 Comptes 2023 par habitant'!$E$4:$BC$159,52,0)</f>
        <v>0</v>
      </c>
    </row>
    <row r="58" spans="2:5" x14ac:dyDescent="0.2">
      <c r="E58" s="19"/>
    </row>
    <row r="59" spans="2:5" ht="15" x14ac:dyDescent="0.25">
      <c r="B59" s="75">
        <v>38</v>
      </c>
      <c r="C59" s="75"/>
      <c r="D59" s="75" t="s">
        <v>117</v>
      </c>
      <c r="E59" s="199">
        <f>SUM(E60:E65)</f>
        <v>0</v>
      </c>
    </row>
    <row r="60" spans="2:5" x14ac:dyDescent="0.2">
      <c r="C60" s="8">
        <v>380</v>
      </c>
      <c r="D60" s="8" t="s">
        <v>118</v>
      </c>
      <c r="E60" s="135">
        <f>HLOOKUP($D$4,'4.9 Comptes 2023 par habitant'!$E$4:$BC$159,55,0)</f>
        <v>0</v>
      </c>
    </row>
    <row r="61" spans="2:5" x14ac:dyDescent="0.2">
      <c r="C61" s="8">
        <v>381</v>
      </c>
      <c r="D61" s="8" t="s">
        <v>119</v>
      </c>
      <c r="E61" s="135">
        <f>HLOOKUP($D$4,'4.9 Comptes 2023 par habitant'!$E$4:$BC$159,56,0)</f>
        <v>0</v>
      </c>
    </row>
    <row r="62" spans="2:5" x14ac:dyDescent="0.2">
      <c r="C62" s="8">
        <v>384</v>
      </c>
      <c r="D62" s="8" t="s">
        <v>120</v>
      </c>
      <c r="E62" s="135">
        <f>HLOOKUP($D$4,'4.9 Comptes 2023 par habitant'!$E$4:$BC$159,57,0)</f>
        <v>0</v>
      </c>
    </row>
    <row r="63" spans="2:5" x14ac:dyDescent="0.2">
      <c r="C63" s="8">
        <v>385</v>
      </c>
      <c r="D63" s="8" t="s">
        <v>121</v>
      </c>
      <c r="E63" s="135">
        <f>HLOOKUP($D$4,'4.9 Comptes 2023 par habitant'!$E$4:$BC$159,58,0)</f>
        <v>0</v>
      </c>
    </row>
    <row r="64" spans="2:5" x14ac:dyDescent="0.2">
      <c r="C64" s="8">
        <v>386</v>
      </c>
      <c r="D64" s="8" t="s">
        <v>122</v>
      </c>
      <c r="E64" s="135">
        <f>HLOOKUP($D$4,'4.9 Comptes 2023 par habitant'!$E$4:$BC$159,59,0)</f>
        <v>0</v>
      </c>
    </row>
    <row r="65" spans="1:5" x14ac:dyDescent="0.2">
      <c r="C65" s="8">
        <v>389</v>
      </c>
      <c r="D65" s="8" t="s">
        <v>286</v>
      </c>
      <c r="E65" s="135">
        <f>HLOOKUP($D$4,'4.9 Comptes 2023 par habitant'!$E$4:$BC$159,60,0)</f>
        <v>0</v>
      </c>
    </row>
    <row r="66" spans="1:5" x14ac:dyDescent="0.2">
      <c r="E66" s="19"/>
    </row>
    <row r="67" spans="1:5" ht="15" x14ac:dyDescent="0.25">
      <c r="B67" s="75">
        <v>39</v>
      </c>
      <c r="C67" s="75"/>
      <c r="D67" s="75" t="s">
        <v>124</v>
      </c>
      <c r="E67" s="199">
        <f>SUM(E68:E75)</f>
        <v>398.86939163199622</v>
      </c>
    </row>
    <row r="68" spans="1:5" x14ac:dyDescent="0.2">
      <c r="C68" s="8">
        <v>390</v>
      </c>
      <c r="D68" s="8" t="s">
        <v>125</v>
      </c>
      <c r="E68" s="135">
        <f>HLOOKUP($D$4,'4.9 Comptes 2023 par habitant'!$E$4:$BC$159,63,0)</f>
        <v>12.952351047962948</v>
      </c>
    </row>
    <row r="69" spans="1:5" x14ac:dyDescent="0.2">
      <c r="C69" s="8">
        <v>391</v>
      </c>
      <c r="D69" s="8" t="s">
        <v>126</v>
      </c>
      <c r="E69" s="135">
        <f>HLOOKUP($D$4,'4.9 Comptes 2023 par habitant'!$E$4:$BC$159,64,0)</f>
        <v>122.31416516210062</v>
      </c>
    </row>
    <row r="70" spans="1:5" x14ac:dyDescent="0.2">
      <c r="C70" s="8">
        <v>392</v>
      </c>
      <c r="D70" s="8" t="s">
        <v>127</v>
      </c>
      <c r="E70" s="135">
        <f>HLOOKUP($D$4,'4.9 Comptes 2023 par habitant'!$E$4:$BC$159,65,0)</f>
        <v>9.4198916712457805</v>
      </c>
    </row>
    <row r="71" spans="1:5" x14ac:dyDescent="0.2">
      <c r="C71" s="8">
        <v>393</v>
      </c>
      <c r="D71" s="8" t="s">
        <v>128</v>
      </c>
      <c r="E71" s="135">
        <f>HLOOKUP($D$4,'4.9 Comptes 2023 par habitant'!$E$4:$BC$159,66,0)</f>
        <v>0</v>
      </c>
    </row>
    <row r="72" spans="1:5" x14ac:dyDescent="0.2">
      <c r="C72" s="8">
        <v>394</v>
      </c>
      <c r="D72" s="8" t="s">
        <v>129</v>
      </c>
      <c r="E72" s="135">
        <f>HLOOKUP($D$4,'4.9 Comptes 2023 par habitant'!$E$4:$BC$159,67,0)</f>
        <v>64.446345867022529</v>
      </c>
    </row>
    <row r="73" spans="1:5" x14ac:dyDescent="0.2">
      <c r="C73" s="8">
        <v>395</v>
      </c>
      <c r="D73" s="8" t="s">
        <v>130</v>
      </c>
      <c r="E73" s="135">
        <f>HLOOKUP($D$4,'4.9 Comptes 2023 par habitant'!$E$4:$BC$159,68,0)</f>
        <v>0</v>
      </c>
    </row>
    <row r="74" spans="1:5" x14ac:dyDescent="0.2">
      <c r="C74" s="8">
        <v>398</v>
      </c>
      <c r="D74" s="8" t="s">
        <v>131</v>
      </c>
      <c r="E74" s="135">
        <f>HLOOKUP($D$4,'4.9 Comptes 2023 par habitant'!$E$4:$BC$159,69,0)</f>
        <v>189.73663788366432</v>
      </c>
    </row>
    <row r="75" spans="1:5" x14ac:dyDescent="0.2">
      <c r="C75" s="8">
        <v>399</v>
      </c>
      <c r="D75" s="8" t="s">
        <v>132</v>
      </c>
      <c r="E75" s="135">
        <f>HLOOKUP($D$4,'4.9 Comptes 2023 par habitant'!$E$4:$BC$159,70,0)</f>
        <v>0</v>
      </c>
    </row>
    <row r="76" spans="1:5" x14ac:dyDescent="0.2">
      <c r="E76" s="19"/>
    </row>
    <row r="77" spans="1:5" x14ac:dyDescent="0.2">
      <c r="E77" s="19"/>
    </row>
    <row r="78" spans="1:5" ht="20.25" x14ac:dyDescent="0.3">
      <c r="A78" s="14">
        <v>4</v>
      </c>
      <c r="B78" s="14"/>
      <c r="C78" s="14"/>
      <c r="D78" s="14" t="s">
        <v>133</v>
      </c>
      <c r="E78" s="204">
        <f>HLOOKUP($D$4,'4.9 Comptes 2023 par habitant'!$E$4:$BC$159,73,0)</f>
        <v>9517.6259219718959</v>
      </c>
    </row>
    <row r="79" spans="1:5" ht="15" x14ac:dyDescent="0.25">
      <c r="A79" s="7"/>
      <c r="B79" s="77">
        <v>40</v>
      </c>
      <c r="C79" s="77"/>
      <c r="D79" s="77" t="s">
        <v>76</v>
      </c>
      <c r="E79" s="205">
        <f>SUM(E80:E83)</f>
        <v>3205.1273922599894</v>
      </c>
    </row>
    <row r="80" spans="1:5" x14ac:dyDescent="0.2">
      <c r="C80" s="8">
        <v>400</v>
      </c>
      <c r="D80" s="8" t="s">
        <v>134</v>
      </c>
      <c r="E80" s="135">
        <f>HLOOKUP($D$4,'4.9 Comptes 2023 par habitant'!$E$4:$BC$159,75,0)</f>
        <v>2405.3223353481435</v>
      </c>
    </row>
    <row r="81" spans="2:5" x14ac:dyDescent="0.2">
      <c r="C81" s="8">
        <v>401</v>
      </c>
      <c r="D81" s="8" t="s">
        <v>135</v>
      </c>
      <c r="E81" s="135">
        <f>HLOOKUP($D$4,'4.9 Comptes 2023 par habitant'!$E$4:$BC$159,76,0)</f>
        <v>420.92514718580736</v>
      </c>
    </row>
    <row r="82" spans="2:5" x14ac:dyDescent="0.2">
      <c r="C82" s="8">
        <v>402</v>
      </c>
      <c r="D82" s="8" t="s">
        <v>136</v>
      </c>
      <c r="E82" s="135">
        <f>HLOOKUP($D$4,'4.9 Comptes 2023 par habitant'!$E$4:$BC$159,77,0)</f>
        <v>370.51945757123792</v>
      </c>
    </row>
    <row r="83" spans="2:5" x14ac:dyDescent="0.2">
      <c r="C83" s="8">
        <v>403</v>
      </c>
      <c r="D83" s="8" t="s">
        <v>137</v>
      </c>
      <c r="E83" s="135">
        <f>HLOOKUP($D$4,'4.9 Comptes 2023 par habitant'!$E$4:$BC$159,78,0)</f>
        <v>8.3604521548002193</v>
      </c>
    </row>
    <row r="84" spans="2:5" x14ac:dyDescent="0.2">
      <c r="E84" s="19"/>
    </row>
    <row r="85" spans="2:5" ht="15" x14ac:dyDescent="0.25">
      <c r="B85" s="77">
        <v>41</v>
      </c>
      <c r="C85" s="77"/>
      <c r="D85" s="77" t="s">
        <v>138</v>
      </c>
      <c r="E85" s="205">
        <f>SUM(E86:E89)</f>
        <v>0</v>
      </c>
    </row>
    <row r="86" spans="2:5" x14ac:dyDescent="0.2">
      <c r="C86" s="8">
        <v>410</v>
      </c>
      <c r="D86" s="8" t="s">
        <v>139</v>
      </c>
      <c r="E86" s="135">
        <f>HLOOKUP($D$4,'4.9 Comptes 2023 par habitant'!$E$4:$BC$159,81,0)</f>
        <v>0</v>
      </c>
    </row>
    <row r="87" spans="2:5" x14ac:dyDescent="0.2">
      <c r="C87" s="8">
        <v>411</v>
      </c>
      <c r="D87" s="8" t="s">
        <v>140</v>
      </c>
      <c r="E87" s="135">
        <f>HLOOKUP($D$4,'4.9 Comptes 2023 par habitant'!$E$4:$BC$159,82,0)</f>
        <v>0</v>
      </c>
    </row>
    <row r="88" spans="2:5" x14ac:dyDescent="0.2">
      <c r="C88" s="8">
        <v>412</v>
      </c>
      <c r="D88" s="8" t="s">
        <v>141</v>
      </c>
      <c r="E88" s="135">
        <f>HLOOKUP($D$4,'4.9 Comptes 2023 par habitant'!$E$4:$BC$159,83,0)</f>
        <v>0</v>
      </c>
    </row>
    <row r="89" spans="2:5" x14ac:dyDescent="0.2">
      <c r="C89" s="8">
        <v>413</v>
      </c>
      <c r="D89" s="8" t="s">
        <v>142</v>
      </c>
      <c r="E89" s="135">
        <f>HLOOKUP($D$4,'4.9 Comptes 2023 par habitant'!$E$4:$BC$159,84,0)</f>
        <v>0</v>
      </c>
    </row>
    <row r="90" spans="2:5" x14ac:dyDescent="0.2">
      <c r="E90" s="19"/>
    </row>
    <row r="91" spans="2:5" ht="15" x14ac:dyDescent="0.25">
      <c r="B91" s="77">
        <v>42</v>
      </c>
      <c r="C91" s="77"/>
      <c r="D91" s="77" t="s">
        <v>143</v>
      </c>
      <c r="E91" s="205">
        <f>SUM(E92:E100)</f>
        <v>3472.5307371065228</v>
      </c>
    </row>
    <row r="92" spans="2:5" x14ac:dyDescent="0.2">
      <c r="C92" s="8">
        <v>420</v>
      </c>
      <c r="D92" s="8" t="s">
        <v>144</v>
      </c>
      <c r="E92" s="135">
        <f>HLOOKUP($D$4,'4.9 Comptes 2023 par habitant'!$E$4:$BC$159,87,0)</f>
        <v>39.64420598163121</v>
      </c>
    </row>
    <row r="93" spans="2:5" x14ac:dyDescent="0.2">
      <c r="C93" s="8">
        <v>421</v>
      </c>
      <c r="D93" s="8" t="s">
        <v>145</v>
      </c>
      <c r="E93" s="135">
        <f>HLOOKUP($D$4,'4.9 Comptes 2023 par habitant'!$E$4:$BC$159,88,0)</f>
        <v>77.854784519978026</v>
      </c>
    </row>
    <row r="94" spans="2:5" x14ac:dyDescent="0.2">
      <c r="C94" s="8">
        <v>422</v>
      </c>
      <c r="D94" s="8" t="s">
        <v>146</v>
      </c>
      <c r="E94" s="135">
        <f>HLOOKUP($D$4,'4.9 Comptes 2023 par habitant'!$E$4:$BC$159,89,0)</f>
        <v>0</v>
      </c>
    </row>
    <row r="95" spans="2:5" x14ac:dyDescent="0.2">
      <c r="C95" s="8">
        <v>423</v>
      </c>
      <c r="D95" s="8" t="s">
        <v>147</v>
      </c>
      <c r="E95" s="135">
        <f>HLOOKUP($D$4,'4.9 Comptes 2023 par habitant'!$E$4:$BC$159,90,0)</f>
        <v>2.9392416987204646</v>
      </c>
    </row>
    <row r="96" spans="2:5" x14ac:dyDescent="0.2">
      <c r="C96" s="8">
        <v>424</v>
      </c>
      <c r="D96" s="8" t="s">
        <v>148</v>
      </c>
      <c r="E96" s="135">
        <f>HLOOKUP($D$4,'4.9 Comptes 2023 par habitant'!$E$4:$BC$159,91,0)</f>
        <v>3302.4706028730666</v>
      </c>
    </row>
    <row r="97" spans="2:5" x14ac:dyDescent="0.2">
      <c r="C97" s="8">
        <v>425</v>
      </c>
      <c r="D97" s="8" t="s">
        <v>149</v>
      </c>
      <c r="E97" s="135">
        <f>HLOOKUP($D$4,'4.9 Comptes 2023 par habitant'!$E$4:$BC$159,92,0)</f>
        <v>17.375590705706884</v>
      </c>
    </row>
    <row r="98" spans="2:5" x14ac:dyDescent="0.2">
      <c r="C98" s="8">
        <v>426</v>
      </c>
      <c r="D98" s="8" t="s">
        <v>150</v>
      </c>
      <c r="E98" s="135">
        <f>HLOOKUP($D$4,'4.9 Comptes 2023 par habitant'!$E$4:$BC$159,93,0)</f>
        <v>23.693734202056675</v>
      </c>
    </row>
    <row r="99" spans="2:5" x14ac:dyDescent="0.2">
      <c r="C99" s="8">
        <v>427</v>
      </c>
      <c r="D99" s="8" t="s">
        <v>151</v>
      </c>
      <c r="E99" s="135">
        <f>HLOOKUP($D$4,'4.9 Comptes 2023 par habitant'!$E$4:$BC$159,94,0)</f>
        <v>8.552577125363058</v>
      </c>
    </row>
    <row r="100" spans="2:5" x14ac:dyDescent="0.2">
      <c r="C100" s="8">
        <v>429</v>
      </c>
      <c r="D100" s="8" t="s">
        <v>152</v>
      </c>
      <c r="E100" s="135">
        <f>HLOOKUP($D$4,'4.9 Comptes 2023 par habitant'!$E$4:$BC$159,95,0)</f>
        <v>0</v>
      </c>
    </row>
    <row r="101" spans="2:5" x14ac:dyDescent="0.2">
      <c r="E101" s="19"/>
    </row>
    <row r="102" spans="2:5" ht="15" x14ac:dyDescent="0.25">
      <c r="B102" s="77">
        <v>43</v>
      </c>
      <c r="C102" s="77"/>
      <c r="D102" s="77" t="s">
        <v>153</v>
      </c>
      <c r="E102" s="205">
        <f>SUM(E103:E106)</f>
        <v>166.36021351754454</v>
      </c>
    </row>
    <row r="103" spans="2:5" x14ac:dyDescent="0.2">
      <c r="C103" s="8">
        <v>430</v>
      </c>
      <c r="D103" s="8" t="s">
        <v>154</v>
      </c>
      <c r="E103" s="135">
        <f>HLOOKUP($D$4,'4.9 Comptes 2023 par habitant'!$E$4:$BC$159,98,0)</f>
        <v>166.36021351754454</v>
      </c>
    </row>
    <row r="104" spans="2:5" x14ac:dyDescent="0.2">
      <c r="C104" s="8">
        <v>431</v>
      </c>
      <c r="D104" s="8" t="s">
        <v>155</v>
      </c>
      <c r="E104" s="135">
        <f>HLOOKUP($D$4,'4.9 Comptes 2023 par habitant'!$E$4:$BC$159,99,0)</f>
        <v>0</v>
      </c>
    </row>
    <row r="105" spans="2:5" x14ac:dyDescent="0.2">
      <c r="C105" s="8">
        <v>432</v>
      </c>
      <c r="D105" s="8" t="s">
        <v>156</v>
      </c>
      <c r="E105" s="135">
        <f>HLOOKUP($D$4,'4.9 Comptes 2023 par habitant'!$E$4:$BC$159,100,0)</f>
        <v>0</v>
      </c>
    </row>
    <row r="106" spans="2:5" x14ac:dyDescent="0.2">
      <c r="C106" s="8">
        <v>439</v>
      </c>
      <c r="D106" s="8" t="s">
        <v>157</v>
      </c>
      <c r="E106" s="135">
        <f>HLOOKUP($D$4,'4.9 Comptes 2023 par habitant'!$E$4:$BC$159,101,0)</f>
        <v>0</v>
      </c>
    </row>
    <row r="107" spans="2:5" x14ac:dyDescent="0.2">
      <c r="E107" s="19"/>
    </row>
    <row r="108" spans="2:5" ht="15" x14ac:dyDescent="0.25">
      <c r="B108" s="77">
        <v>44</v>
      </c>
      <c r="C108" s="77"/>
      <c r="D108" s="77" t="s">
        <v>158</v>
      </c>
      <c r="E108" s="205">
        <f>SUM(E109:E118)</f>
        <v>467.73884056833344</v>
      </c>
    </row>
    <row r="109" spans="2:5" x14ac:dyDescent="0.2">
      <c r="C109" s="8">
        <v>440</v>
      </c>
      <c r="D109" s="8" t="s">
        <v>159</v>
      </c>
      <c r="E109" s="135">
        <f>HLOOKUP($D$4,'4.9 Comptes 2023 par habitant'!$E$4:$BC$159,104,0)</f>
        <v>83.263105424287616</v>
      </c>
    </row>
    <row r="110" spans="2:5" x14ac:dyDescent="0.2">
      <c r="C110" s="8">
        <v>441</v>
      </c>
      <c r="D110" s="8" t="s">
        <v>160</v>
      </c>
      <c r="E110" s="135">
        <f>HLOOKUP($D$4,'4.9 Comptes 2023 par habitant'!$E$4:$BC$159,105,0)</f>
        <v>0</v>
      </c>
    </row>
    <row r="111" spans="2:5" x14ac:dyDescent="0.2">
      <c r="C111" s="8">
        <v>442</v>
      </c>
      <c r="D111" s="8" t="s">
        <v>161</v>
      </c>
      <c r="E111" s="135">
        <f>HLOOKUP($D$4,'4.9 Comptes 2023 par habitant'!$E$4:$BC$159,106,0)</f>
        <v>3.4204411649266033</v>
      </c>
    </row>
    <row r="112" spans="2:5" x14ac:dyDescent="0.2">
      <c r="C112" s="8">
        <v>443</v>
      </c>
      <c r="D112" s="8" t="s">
        <v>162</v>
      </c>
      <c r="E112" s="135">
        <f>HLOOKUP($D$4,'4.9 Comptes 2023 par habitant'!$E$4:$BC$159,107,0)</f>
        <v>89.373949289583166</v>
      </c>
    </row>
    <row r="113" spans="2:5" x14ac:dyDescent="0.2">
      <c r="C113" s="8">
        <v>444</v>
      </c>
      <c r="D113" s="8" t="s">
        <v>102</v>
      </c>
      <c r="E113" s="135">
        <f>HLOOKUP($D$4,'4.9 Comptes 2023 par habitant'!$E$4:$BC$159,108,0)</f>
        <v>151.15734359054869</v>
      </c>
    </row>
    <row r="114" spans="2:5" x14ac:dyDescent="0.2">
      <c r="C114" s="8">
        <v>445</v>
      </c>
      <c r="D114" s="8" t="s">
        <v>163</v>
      </c>
      <c r="E114" s="135">
        <f>HLOOKUP($D$4,'4.9 Comptes 2023 par habitant'!$E$4:$BC$159,109,0)</f>
        <v>11.773844100792841</v>
      </c>
    </row>
    <row r="115" spans="2:5" x14ac:dyDescent="0.2">
      <c r="C115" s="8">
        <v>446</v>
      </c>
      <c r="D115" s="8" t="s">
        <v>164</v>
      </c>
      <c r="E115" s="135">
        <f>HLOOKUP($D$4,'4.9 Comptes 2023 par habitant'!$E$4:$BC$159,110,0)</f>
        <v>0</v>
      </c>
    </row>
    <row r="116" spans="2:5" x14ac:dyDescent="0.2">
      <c r="C116" s="8">
        <v>447</v>
      </c>
      <c r="D116" s="8" t="s">
        <v>165</v>
      </c>
      <c r="E116" s="135">
        <f>HLOOKUP($D$4,'4.9 Comptes 2023 par habitant'!$E$4:$BC$159,111,0)</f>
        <v>128.75015699819451</v>
      </c>
    </row>
    <row r="117" spans="2:5" x14ac:dyDescent="0.2">
      <c r="C117" s="8">
        <v>448</v>
      </c>
      <c r="D117" s="8" t="s">
        <v>166</v>
      </c>
      <c r="E117" s="135">
        <f>HLOOKUP($D$4,'4.9 Comptes 2023 par habitant'!$E$4:$BC$159,112,0)</f>
        <v>0</v>
      </c>
    </row>
    <row r="118" spans="2:5" x14ac:dyDescent="0.2">
      <c r="C118" s="8">
        <v>449</v>
      </c>
      <c r="D118" s="8" t="s">
        <v>167</v>
      </c>
      <c r="E118" s="135">
        <f>HLOOKUP($D$4,'4.9 Comptes 2023 par habitant'!$E$4:$BC$159,113,0)</f>
        <v>0</v>
      </c>
    </row>
    <row r="119" spans="2:5" x14ac:dyDescent="0.2">
      <c r="E119" s="19"/>
    </row>
    <row r="120" spans="2:5" ht="15" x14ac:dyDescent="0.25">
      <c r="B120" s="77">
        <v>45</v>
      </c>
      <c r="C120" s="77"/>
      <c r="D120" s="77" t="s">
        <v>170</v>
      </c>
      <c r="E120" s="205">
        <f>SUM(E121:E122)</f>
        <v>24.812371457728236</v>
      </c>
    </row>
    <row r="121" spans="2:5" x14ac:dyDescent="0.2">
      <c r="C121" s="8">
        <v>450</v>
      </c>
      <c r="D121" s="8" t="s">
        <v>168</v>
      </c>
      <c r="E121" s="135">
        <f>HLOOKUP($D$4,'4.9 Comptes 2023 par habitant'!$E$4:$BC$159,116,0)</f>
        <v>24.812371457728236</v>
      </c>
    </row>
    <row r="122" spans="2:5" x14ac:dyDescent="0.2">
      <c r="C122" s="8">
        <v>451</v>
      </c>
      <c r="D122" s="8" t="s">
        <v>169</v>
      </c>
      <c r="E122" s="135">
        <f>HLOOKUP($D$4,'4.9 Comptes 2023 par habitant'!$E$4:$BC$159,117,0)</f>
        <v>0</v>
      </c>
    </row>
    <row r="123" spans="2:5" x14ac:dyDescent="0.2">
      <c r="E123" s="19"/>
    </row>
    <row r="124" spans="2:5" ht="15" x14ac:dyDescent="0.25">
      <c r="B124" s="77">
        <v>46</v>
      </c>
      <c r="C124" s="77"/>
      <c r="D124" s="77" t="s">
        <v>171</v>
      </c>
      <c r="E124" s="205">
        <f>SUM(E125:E129)</f>
        <v>1683.7562508831147</v>
      </c>
    </row>
    <row r="125" spans="2:5" x14ac:dyDescent="0.2">
      <c r="C125" s="8">
        <v>460</v>
      </c>
      <c r="D125" s="8" t="s">
        <v>172</v>
      </c>
      <c r="E125" s="135">
        <f>HLOOKUP($D$4,'4.9 Comptes 2023 par habitant'!$E$4:$BC$159,120,0)</f>
        <v>37.842138315409372</v>
      </c>
    </row>
    <row r="126" spans="2:5" x14ac:dyDescent="0.2">
      <c r="C126" s="8">
        <v>461</v>
      </c>
      <c r="D126" s="8" t="s">
        <v>173</v>
      </c>
      <c r="E126" s="135">
        <f>HLOOKUP($D$4,'4.9 Comptes 2023 par habitant'!$E$4:$BC$159,121,0)</f>
        <v>795.4938456707747</v>
      </c>
    </row>
    <row r="127" spans="2:5" x14ac:dyDescent="0.2">
      <c r="C127" s="8">
        <v>462</v>
      </c>
      <c r="D127" s="8" t="s">
        <v>109</v>
      </c>
      <c r="E127" s="135">
        <f>HLOOKUP($D$4,'4.9 Comptes 2023 par habitant'!$E$4:$BC$159,122,0)</f>
        <v>79.970217442499404</v>
      </c>
    </row>
    <row r="128" spans="2:5" x14ac:dyDescent="0.2">
      <c r="C128" s="8">
        <v>463</v>
      </c>
      <c r="D128" s="8" t="s">
        <v>174</v>
      </c>
      <c r="E128" s="135">
        <f>HLOOKUP($D$4,'4.9 Comptes 2023 par habitant'!$E$4:$BC$159,123,0)</f>
        <v>173.04477745505926</v>
      </c>
    </row>
    <row r="129" spans="2:5" x14ac:dyDescent="0.2">
      <c r="C129" s="8">
        <v>469</v>
      </c>
      <c r="D129" s="8" t="s">
        <v>175</v>
      </c>
      <c r="E129" s="135">
        <f>HLOOKUP($D$4,'4.9 Comptes 2023 par habitant'!$E$4:$BC$159,124,0)</f>
        <v>597.40527199937196</v>
      </c>
    </row>
    <row r="130" spans="2:5" x14ac:dyDescent="0.2">
      <c r="E130" s="19"/>
    </row>
    <row r="131" spans="2:5" ht="15" x14ac:dyDescent="0.25">
      <c r="B131" s="77">
        <v>47</v>
      </c>
      <c r="C131" s="77"/>
      <c r="D131" s="77" t="s">
        <v>115</v>
      </c>
      <c r="E131" s="205">
        <f>SUM(E132)</f>
        <v>0</v>
      </c>
    </row>
    <row r="132" spans="2:5" x14ac:dyDescent="0.2">
      <c r="C132" s="8">
        <v>470</v>
      </c>
      <c r="D132" s="8" t="s">
        <v>176</v>
      </c>
      <c r="E132" s="135">
        <f>HLOOKUP($D$4,'4.9 Comptes 2023 par habitant'!$E$4:$BC$159,127,0)</f>
        <v>0</v>
      </c>
    </row>
    <row r="133" spans="2:5" x14ac:dyDescent="0.2">
      <c r="E133" s="19"/>
    </row>
    <row r="134" spans="2:5" ht="15" x14ac:dyDescent="0.25">
      <c r="B134" s="77">
        <v>48</v>
      </c>
      <c r="C134" s="77"/>
      <c r="D134" s="77" t="s">
        <v>177</v>
      </c>
      <c r="E134" s="205">
        <f>SUM(E135:E141)</f>
        <v>98.430724546667719</v>
      </c>
    </row>
    <row r="135" spans="2:5" x14ac:dyDescent="0.2">
      <c r="C135" s="8">
        <v>481</v>
      </c>
      <c r="D135" s="8" t="s">
        <v>178</v>
      </c>
      <c r="E135" s="135">
        <f>HLOOKUP($D$4,'4.9 Comptes 2023 par habitant'!$E$4:$BC$159,130,0)</f>
        <v>0</v>
      </c>
    </row>
    <row r="136" spans="2:5" x14ac:dyDescent="0.2">
      <c r="C136" s="8">
        <v>482</v>
      </c>
      <c r="D136" s="8" t="s">
        <v>179</v>
      </c>
      <c r="E136" s="135">
        <f>HLOOKUP($D$4,'4.9 Comptes 2023 par habitant'!$E$4:$BC$159,131,0)</f>
        <v>0</v>
      </c>
    </row>
    <row r="137" spans="2:5" x14ac:dyDescent="0.2">
      <c r="C137" s="8">
        <v>483</v>
      </c>
      <c r="D137" s="8" t="s">
        <v>180</v>
      </c>
      <c r="E137" s="135">
        <f>HLOOKUP($D$4,'4.9 Comptes 2023 par habitant'!$E$4:$BC$159,132,0)</f>
        <v>0</v>
      </c>
    </row>
    <row r="138" spans="2:5" x14ac:dyDescent="0.2">
      <c r="C138" s="8">
        <v>484</v>
      </c>
      <c r="D138" s="8" t="s">
        <v>181</v>
      </c>
      <c r="E138" s="135">
        <f>HLOOKUP($D$4,'4.9 Comptes 2023 par habitant'!$E$4:$BC$159,133,0)</f>
        <v>0</v>
      </c>
    </row>
    <row r="139" spans="2:5" x14ac:dyDescent="0.2">
      <c r="C139" s="8">
        <v>485</v>
      </c>
      <c r="D139" s="8" t="s">
        <v>182</v>
      </c>
      <c r="E139" s="135">
        <f>HLOOKUP($D$4,'4.9 Comptes 2023 par habitant'!$E$4:$BC$159,134,0)</f>
        <v>0</v>
      </c>
    </row>
    <row r="140" spans="2:5" x14ac:dyDescent="0.2">
      <c r="C140" s="8">
        <v>486</v>
      </c>
      <c r="D140" s="8" t="s">
        <v>183</v>
      </c>
      <c r="E140" s="135">
        <f>HLOOKUP($D$4,'4.9 Comptes 2023 par habitant'!$E$4:$BC$159,135,0)</f>
        <v>0</v>
      </c>
    </row>
    <row r="141" spans="2:5" x14ac:dyDescent="0.2">
      <c r="C141" s="8">
        <v>489</v>
      </c>
      <c r="D141" s="8" t="s">
        <v>184</v>
      </c>
      <c r="E141" s="135">
        <f>HLOOKUP($D$4,'4.9 Comptes 2023 par habitant'!$E$4:$BC$159,136,0)</f>
        <v>98.430724546667719</v>
      </c>
    </row>
    <row r="142" spans="2:5" x14ac:dyDescent="0.2">
      <c r="E142" s="19"/>
    </row>
    <row r="143" spans="2:5" ht="15" x14ac:dyDescent="0.25">
      <c r="B143" s="77">
        <v>49</v>
      </c>
      <c r="C143" s="77"/>
      <c r="D143" s="77" t="s">
        <v>124</v>
      </c>
      <c r="E143" s="205">
        <f>SUM(E144:E151)</f>
        <v>398.86939163199622</v>
      </c>
    </row>
    <row r="144" spans="2:5" x14ac:dyDescent="0.2">
      <c r="C144" s="8">
        <v>490</v>
      </c>
      <c r="D144" s="8" t="s">
        <v>125</v>
      </c>
      <c r="E144" s="135">
        <f>HLOOKUP($D$4,'4.9 Comptes 2023 par habitant'!$E$4:$BC$159,139,0)</f>
        <v>20.017269801397283</v>
      </c>
    </row>
    <row r="145" spans="1:5" x14ac:dyDescent="0.2">
      <c r="C145" s="8">
        <v>491</v>
      </c>
      <c r="D145" s="8" t="s">
        <v>126</v>
      </c>
      <c r="E145" s="135">
        <f>HLOOKUP($D$4,'4.9 Comptes 2023 par habitant'!$E$4:$BC$159,140,0)</f>
        <v>113.41599419106682</v>
      </c>
    </row>
    <row r="146" spans="1:5" x14ac:dyDescent="0.2">
      <c r="C146" s="8">
        <v>492</v>
      </c>
      <c r="D146" s="8" t="s">
        <v>185</v>
      </c>
      <c r="E146" s="135">
        <f>HLOOKUP($D$4,'4.9 Comptes 2023 par habitant'!$E$4:$BC$159,141,0)</f>
        <v>9.4198916712457805</v>
      </c>
    </row>
    <row r="147" spans="1:5" x14ac:dyDescent="0.2">
      <c r="C147" s="8">
        <v>493</v>
      </c>
      <c r="D147" s="8" t="s">
        <v>186</v>
      </c>
      <c r="E147" s="135">
        <f>HLOOKUP($D$4,'4.9 Comptes 2023 par habitant'!$E$4:$BC$159,142,0)</f>
        <v>1.8332522175994976</v>
      </c>
    </row>
    <row r="148" spans="1:5" x14ac:dyDescent="0.2">
      <c r="C148" s="8">
        <v>494</v>
      </c>
      <c r="D148" s="8" t="s">
        <v>129</v>
      </c>
      <c r="E148" s="135">
        <f>HLOOKUP($D$4,'4.9 Comptes 2023 par habitant'!$E$4:$BC$159,143,0)</f>
        <v>64.446345867022529</v>
      </c>
    </row>
    <row r="149" spans="1:5" x14ac:dyDescent="0.2">
      <c r="C149" s="8">
        <v>495</v>
      </c>
      <c r="D149" s="8" t="s">
        <v>187</v>
      </c>
      <c r="E149" s="135">
        <f>HLOOKUP($D$4,'4.9 Comptes 2023 par habitant'!$E$4:$BC$159,144,0)</f>
        <v>0</v>
      </c>
    </row>
    <row r="150" spans="1:5" x14ac:dyDescent="0.2">
      <c r="C150" s="8">
        <v>498</v>
      </c>
      <c r="D150" s="8" t="s">
        <v>188</v>
      </c>
      <c r="E150" s="135">
        <f>HLOOKUP($D$4,'4.9 Comptes 2023 par habitant'!$E$4:$BC$159,145,0)</f>
        <v>189.73663788366432</v>
      </c>
    </row>
    <row r="151" spans="1:5" x14ac:dyDescent="0.2">
      <c r="C151" s="8">
        <v>499</v>
      </c>
      <c r="D151" s="8" t="s">
        <v>132</v>
      </c>
      <c r="E151" s="135">
        <f>HLOOKUP($D$4,'4.9 Comptes 2023 par habitant'!$E$4:$BC$159,146,0)</f>
        <v>0</v>
      </c>
    </row>
    <row r="152" spans="1:5" x14ac:dyDescent="0.2">
      <c r="E152" s="19"/>
    </row>
    <row r="153" spans="1:5" x14ac:dyDescent="0.2">
      <c r="E153" s="19"/>
    </row>
    <row r="154" spans="1:5" x14ac:dyDescent="0.2">
      <c r="E154" s="19"/>
    </row>
    <row r="155" spans="1:5" ht="15" x14ac:dyDescent="0.25">
      <c r="A155" s="79">
        <v>9</v>
      </c>
      <c r="B155" s="79"/>
      <c r="C155" s="79"/>
      <c r="D155" s="79" t="s">
        <v>190</v>
      </c>
      <c r="E155" s="206"/>
    </row>
    <row r="156" spans="1:5" ht="15" x14ac:dyDescent="0.25">
      <c r="A156" s="79"/>
      <c r="B156" s="79">
        <v>90</v>
      </c>
      <c r="C156" s="79"/>
      <c r="D156" s="79" t="s">
        <v>191</v>
      </c>
      <c r="E156" s="145">
        <f>SUM(E157:E158)</f>
        <v>-72.048568176465977</v>
      </c>
    </row>
    <row r="157" spans="1:5" x14ac:dyDescent="0.2">
      <c r="C157" s="8">
        <v>900</v>
      </c>
      <c r="D157" s="8" t="s">
        <v>192</v>
      </c>
      <c r="E157" s="135">
        <f>HLOOKUP($D$4,'4.9 Comptes 2023 par habitant'!$E$4:$BC$159,152,0)</f>
        <v>-170.68542271763874</v>
      </c>
    </row>
    <row r="158" spans="1:5" x14ac:dyDescent="0.2">
      <c r="C158" s="8">
        <v>901</v>
      </c>
      <c r="D158" s="8" t="s">
        <v>193</v>
      </c>
      <c r="E158" s="135">
        <f>HLOOKUP($D$4,'4.9 Comptes 2023 par habitant'!$E$4:$BC$159,153,0)</f>
        <v>98.636854541172767</v>
      </c>
    </row>
    <row r="159" spans="1:5" x14ac:dyDescent="0.2">
      <c r="E159" s="13"/>
    </row>
    <row r="160" spans="1:5" ht="15" x14ac:dyDescent="0.25">
      <c r="D160" s="7" t="s">
        <v>194</v>
      </c>
      <c r="E160" s="95">
        <f>HLOOKUP($D$4,'4.9 Comptes 2023 par habitant'!$E$4:$BC$159,155,0)</f>
        <v>-72.048568176465977</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195</v>
      </c>
    </row>
    <row r="6" spans="1:3" ht="15" x14ac:dyDescent="0.25">
      <c r="A6" s="96" t="s">
        <v>212</v>
      </c>
      <c r="B6" s="96" t="s">
        <v>197</v>
      </c>
      <c r="C6" s="96" t="s">
        <v>854</v>
      </c>
    </row>
    <row r="7" spans="1:3" x14ac:dyDescent="0.2">
      <c r="A7" s="97">
        <v>90</v>
      </c>
      <c r="B7" s="98" t="s">
        <v>768</v>
      </c>
      <c r="C7" s="99">
        <f>'4.1 Comptes 2023 natures'!BD154</f>
        <v>7304478.7700000005</v>
      </c>
    </row>
    <row r="8" spans="1:3" x14ac:dyDescent="0.2">
      <c r="A8" s="97">
        <v>900</v>
      </c>
      <c r="B8" s="98" t="s">
        <v>214</v>
      </c>
      <c r="C8" s="99">
        <f>'4.1 Comptes 2023 natures'!BD155</f>
        <v>3193479.0199999996</v>
      </c>
    </row>
    <row r="9" spans="1:3" x14ac:dyDescent="0.2">
      <c r="A9" s="97">
        <v>901</v>
      </c>
      <c r="B9" s="98" t="s">
        <v>216</v>
      </c>
      <c r="C9" s="99">
        <f>'4.1 Comptes 2023 natures'!BD156</f>
        <v>4110999.7500000009</v>
      </c>
    </row>
    <row r="10" spans="1:3" x14ac:dyDescent="0.2">
      <c r="A10" s="97">
        <v>400</v>
      </c>
      <c r="B10" s="98" t="s">
        <v>134</v>
      </c>
      <c r="C10" s="99">
        <f>'4.1 Comptes 2023 natures'!BD78</f>
        <v>179674614.62999997</v>
      </c>
    </row>
    <row r="11" spans="1:3" x14ac:dyDescent="0.2">
      <c r="A11" s="97">
        <v>401</v>
      </c>
      <c r="B11" s="98" t="s">
        <v>135</v>
      </c>
      <c r="C11" s="99">
        <f>'4.1 Comptes 2023 natures'!BD79</f>
        <v>32311937.079999994</v>
      </c>
    </row>
    <row r="12" spans="1:3" x14ac:dyDescent="0.2">
      <c r="A12" s="97">
        <v>4021</v>
      </c>
      <c r="B12" s="98" t="s">
        <v>210</v>
      </c>
      <c r="C12" s="99">
        <f>'4.1 Comptes 2023 natures'!BD164</f>
        <v>15782608.929999996</v>
      </c>
    </row>
    <row r="13" spans="1:3" x14ac:dyDescent="0.2">
      <c r="A13" s="97" t="s">
        <v>213</v>
      </c>
      <c r="B13" s="98" t="s">
        <v>217</v>
      </c>
      <c r="C13" s="99">
        <f>'6.1 Investissements'!BD183</f>
        <v>45784593.650000006</v>
      </c>
    </row>
    <row r="16" spans="1:3" ht="15" x14ac:dyDescent="0.25">
      <c r="A16" s="7" t="s">
        <v>207</v>
      </c>
    </row>
    <row r="18" spans="1:3" ht="15" x14ac:dyDescent="0.25">
      <c r="A18" s="96" t="s">
        <v>212</v>
      </c>
      <c r="B18" s="96" t="s">
        <v>197</v>
      </c>
      <c r="C18" s="96" t="s">
        <v>854</v>
      </c>
    </row>
    <row r="19" spans="1:3" x14ac:dyDescent="0.2">
      <c r="A19" s="97">
        <v>90</v>
      </c>
      <c r="B19" s="98" t="s">
        <v>768</v>
      </c>
      <c r="C19" s="99">
        <f>'4.1 Comptes 2023 natures'!BE154</f>
        <v>588117.79</v>
      </c>
    </row>
    <row r="20" spans="1:3" x14ac:dyDescent="0.2">
      <c r="A20" s="97">
        <v>900</v>
      </c>
      <c r="B20" s="98" t="s">
        <v>214</v>
      </c>
      <c r="C20" s="99">
        <f>'4.1 Comptes 2023 natures'!BE155</f>
        <v>-1846902.87</v>
      </c>
    </row>
    <row r="21" spans="1:3" x14ac:dyDescent="0.2">
      <c r="A21" s="97">
        <v>901</v>
      </c>
      <c r="B21" s="98" t="s">
        <v>216</v>
      </c>
      <c r="C21" s="99">
        <f>'4.1 Comptes 2023 natures'!BE156</f>
        <v>2435020.66</v>
      </c>
    </row>
    <row r="22" spans="1:3" x14ac:dyDescent="0.2">
      <c r="A22" s="97">
        <v>400</v>
      </c>
      <c r="B22" s="98" t="s">
        <v>134</v>
      </c>
      <c r="C22" s="99">
        <f>'4.1 Comptes 2023 natures'!BE78</f>
        <v>90971912.079999998</v>
      </c>
    </row>
    <row r="23" spans="1:3" x14ac:dyDescent="0.2">
      <c r="A23" s="97">
        <v>401</v>
      </c>
      <c r="B23" s="98" t="s">
        <v>135</v>
      </c>
      <c r="C23" s="99">
        <f>'4.1 Comptes 2023 natures'!BE79</f>
        <v>9746977.3200000022</v>
      </c>
    </row>
    <row r="24" spans="1:3" x14ac:dyDescent="0.2">
      <c r="A24" s="97">
        <v>4021</v>
      </c>
      <c r="B24" s="98" t="s">
        <v>210</v>
      </c>
      <c r="C24" s="99">
        <f>'4.1 Comptes 2023 natures'!BE164</f>
        <v>7613488.4499999993</v>
      </c>
    </row>
    <row r="25" spans="1:3" x14ac:dyDescent="0.2">
      <c r="A25" s="97" t="s">
        <v>213</v>
      </c>
      <c r="B25" s="98" t="s">
        <v>217</v>
      </c>
      <c r="C25" s="99">
        <f>'6.1 Investissements'!BE183</f>
        <v>26873702.780000005</v>
      </c>
    </row>
    <row r="28" spans="1:3" ht="15" x14ac:dyDescent="0.25">
      <c r="A28" s="7" t="s">
        <v>208</v>
      </c>
    </row>
    <row r="30" spans="1:3" ht="15" x14ac:dyDescent="0.25">
      <c r="A30" s="96" t="s">
        <v>212</v>
      </c>
      <c r="B30" s="96" t="s">
        <v>197</v>
      </c>
      <c r="C30" s="96" t="s">
        <v>854</v>
      </c>
    </row>
    <row r="31" spans="1:3" x14ac:dyDescent="0.2">
      <c r="A31" s="97">
        <v>90</v>
      </c>
      <c r="B31" s="98" t="s">
        <v>768</v>
      </c>
      <c r="C31" s="99">
        <f>'4.1 Comptes 2023 natures'!BF154</f>
        <v>6119406.6300000008</v>
      </c>
    </row>
    <row r="32" spans="1:3" x14ac:dyDescent="0.2">
      <c r="A32" s="97">
        <v>900</v>
      </c>
      <c r="B32" s="98" t="s">
        <v>214</v>
      </c>
      <c r="C32" s="99">
        <f>'4.1 Comptes 2023 natures'!BF155</f>
        <v>5004002.4300000006</v>
      </c>
    </row>
    <row r="33" spans="1:3" x14ac:dyDescent="0.2">
      <c r="A33" s="97">
        <v>901</v>
      </c>
      <c r="B33" s="98" t="s">
        <v>216</v>
      </c>
      <c r="C33" s="99">
        <f>'4.1 Comptes 2023 natures'!BF156</f>
        <v>1115404.2000000002</v>
      </c>
    </row>
    <row r="34" spans="1:3" x14ac:dyDescent="0.2">
      <c r="A34" s="97">
        <v>400</v>
      </c>
      <c r="B34" s="98" t="s">
        <v>134</v>
      </c>
      <c r="C34" s="99">
        <f>'4.1 Comptes 2023 natures'!BF78</f>
        <v>26824717.350000005</v>
      </c>
    </row>
    <row r="35" spans="1:3" x14ac:dyDescent="0.2">
      <c r="A35" s="97">
        <v>401</v>
      </c>
      <c r="B35" s="98" t="s">
        <v>135</v>
      </c>
      <c r="C35" s="99">
        <f>'4.1 Comptes 2023 natures'!BF79</f>
        <v>13420052.999999996</v>
      </c>
    </row>
    <row r="36" spans="1:3" x14ac:dyDescent="0.2">
      <c r="A36" s="97">
        <v>4021</v>
      </c>
      <c r="B36" s="98" t="s">
        <v>210</v>
      </c>
      <c r="C36" s="99">
        <f>'4.1 Comptes 2023 natures'!BF164</f>
        <v>2203731.4499999997</v>
      </c>
    </row>
    <row r="37" spans="1:3" x14ac:dyDescent="0.2">
      <c r="A37" s="97" t="s">
        <v>213</v>
      </c>
      <c r="B37" s="98" t="s">
        <v>217</v>
      </c>
      <c r="C37" s="99">
        <f>'6.1 Investissements'!BF183</f>
        <v>5832735.7800000003</v>
      </c>
    </row>
    <row r="40" spans="1:3" x14ac:dyDescent="0.2">
      <c r="A40" s="8" t="s">
        <v>209</v>
      </c>
    </row>
    <row r="42" spans="1:3" ht="15" x14ac:dyDescent="0.25">
      <c r="A42" s="96" t="s">
        <v>212</v>
      </c>
      <c r="B42" s="96" t="s">
        <v>197</v>
      </c>
      <c r="C42" s="96" t="s">
        <v>854</v>
      </c>
    </row>
    <row r="43" spans="1:3" x14ac:dyDescent="0.2">
      <c r="A43" s="97">
        <v>90</v>
      </c>
      <c r="B43" s="98" t="s">
        <v>768</v>
      </c>
      <c r="C43" s="99">
        <f>'4.1 Comptes 2023 natures'!BG154</f>
        <v>596954.35</v>
      </c>
    </row>
    <row r="44" spans="1:3" x14ac:dyDescent="0.2">
      <c r="A44" s="97">
        <v>900</v>
      </c>
      <c r="B44" s="98" t="s">
        <v>214</v>
      </c>
      <c r="C44" s="99">
        <f>'4.1 Comptes 2023 natures'!BG155</f>
        <v>36379.459999999963</v>
      </c>
    </row>
    <row r="45" spans="1:3" x14ac:dyDescent="0.2">
      <c r="A45" s="97">
        <v>901</v>
      </c>
      <c r="B45" s="98" t="s">
        <v>216</v>
      </c>
      <c r="C45" s="99">
        <f>'4.1 Comptes 2023 natures'!BG156</f>
        <v>560574.89</v>
      </c>
    </row>
    <row r="46" spans="1:3" x14ac:dyDescent="0.2">
      <c r="A46" s="97">
        <v>400</v>
      </c>
      <c r="B46" s="98" t="s">
        <v>134</v>
      </c>
      <c r="C46" s="99">
        <f>'4.1 Comptes 2023 natures'!BG78</f>
        <v>61877985.200000003</v>
      </c>
    </row>
    <row r="47" spans="1:3" x14ac:dyDescent="0.2">
      <c r="A47" s="97">
        <v>401</v>
      </c>
      <c r="B47" s="98" t="s">
        <v>135</v>
      </c>
      <c r="C47" s="99">
        <f>'4.1 Comptes 2023 natures'!BG79</f>
        <v>9144906.7600000016</v>
      </c>
    </row>
    <row r="48" spans="1:3" x14ac:dyDescent="0.2">
      <c r="A48" s="97">
        <v>4021</v>
      </c>
      <c r="B48" s="98" t="s">
        <v>210</v>
      </c>
      <c r="C48" s="99">
        <f>'4.1 Comptes 2023 natures'!BG164</f>
        <v>5965389.0300000003</v>
      </c>
    </row>
    <row r="49" spans="1:3" x14ac:dyDescent="0.2">
      <c r="A49" s="97" t="s">
        <v>213</v>
      </c>
      <c r="B49" s="98" t="s">
        <v>217</v>
      </c>
      <c r="C49" s="99">
        <f>'6.1 Investissements'!BG183</f>
        <v>13078155.090000002</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855</v>
      </c>
    </row>
    <row r="5" spans="1:3" ht="15" thickBot="1" x14ac:dyDescent="0.25">
      <c r="B5" s="202" t="s">
        <v>581</v>
      </c>
    </row>
    <row r="6" spans="1:3" ht="15.75" thickBot="1" x14ac:dyDescent="0.3">
      <c r="B6" s="92" t="s">
        <v>23</v>
      </c>
    </row>
    <row r="9" spans="1:3" ht="15" x14ac:dyDescent="0.25">
      <c r="A9" s="96" t="s">
        <v>212</v>
      </c>
      <c r="B9" s="96" t="s">
        <v>197</v>
      </c>
      <c r="C9" s="96" t="s">
        <v>854</v>
      </c>
    </row>
    <row r="10" spans="1:3" x14ac:dyDescent="0.2">
      <c r="A10" s="97">
        <v>90</v>
      </c>
      <c r="B10" s="98" t="s">
        <v>214</v>
      </c>
      <c r="C10" s="99">
        <f>HLOOKUP($B$6,'4.1 Comptes 2023 natures'!$E$4:$BC$170,151,0)</f>
        <v>277298.86000000004</v>
      </c>
    </row>
    <row r="11" spans="1:3" x14ac:dyDescent="0.2">
      <c r="A11" s="97">
        <v>900</v>
      </c>
      <c r="B11" s="98" t="s">
        <v>215</v>
      </c>
      <c r="C11" s="99">
        <f>HLOOKUP($B$6,'4.1 Comptes 2023 natures'!$E$4:$BC$170,152,0)</f>
        <v>272506.28000000003</v>
      </c>
    </row>
    <row r="12" spans="1:3" x14ac:dyDescent="0.2">
      <c r="A12" s="97">
        <v>901</v>
      </c>
      <c r="B12" s="98" t="s">
        <v>216</v>
      </c>
      <c r="C12" s="99">
        <f>HLOOKUP($B$6,'4.1 Comptes 2023 natures'!$E$4:$BC$170,153,0)</f>
        <v>4792.58</v>
      </c>
    </row>
    <row r="13" spans="1:3" x14ac:dyDescent="0.2">
      <c r="A13" s="97">
        <v>400</v>
      </c>
      <c r="B13" s="98" t="s">
        <v>134</v>
      </c>
      <c r="C13" s="99">
        <f>HLOOKUP($B$6,'4.1 Comptes 2023 natures'!$E$4:$BC$170,75,0)</f>
        <v>742226.45</v>
      </c>
    </row>
    <row r="14" spans="1:3" x14ac:dyDescent="0.2">
      <c r="A14" s="97">
        <v>401</v>
      </c>
      <c r="B14" s="98" t="s">
        <v>135</v>
      </c>
      <c r="C14" s="99">
        <f>HLOOKUP($B$6,'4.1 Comptes 2023 natures'!$E$4:$BC$170,76,0)</f>
        <v>214680.15</v>
      </c>
    </row>
    <row r="15" spans="1:3" x14ac:dyDescent="0.2">
      <c r="A15" s="97">
        <v>4021</v>
      </c>
      <c r="B15" s="98" t="s">
        <v>210</v>
      </c>
      <c r="C15" s="99">
        <f>HLOOKUP($B$6,'4.1 Comptes 2023 natures'!$E$4:$BC$170,161,0)</f>
        <v>47476.95</v>
      </c>
    </row>
    <row r="16" spans="1:3" x14ac:dyDescent="0.2">
      <c r="A16" s="97" t="s">
        <v>213</v>
      </c>
      <c r="B16" s="98" t="s">
        <v>217</v>
      </c>
      <c r="C16" s="99">
        <f>HLOOKUP($B$6,'6.1 Investissements'!$E$4:$BG$183,180,0)</f>
        <v>307820.15000000002</v>
      </c>
    </row>
    <row r="18" spans="3:3" x14ac:dyDescent="0.2">
      <c r="C18" s="65"/>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195</v>
      </c>
    </row>
    <row r="6" spans="1:3" ht="15" x14ac:dyDescent="0.25">
      <c r="A6" s="7" t="s">
        <v>857</v>
      </c>
    </row>
    <row r="8" spans="1:3" ht="15" x14ac:dyDescent="0.25">
      <c r="A8" s="96" t="s">
        <v>196</v>
      </c>
      <c r="B8" s="96" t="s">
        <v>197</v>
      </c>
      <c r="C8" s="96" t="s">
        <v>198</v>
      </c>
    </row>
    <row r="9" spans="1:3" x14ac:dyDescent="0.2">
      <c r="A9" s="97" t="s">
        <v>205</v>
      </c>
      <c r="B9" s="98" t="s">
        <v>199</v>
      </c>
      <c r="C9" s="99">
        <f>'4.1 Comptes 2023 natures'!BD6+'4.1 Comptes 2023 natures'!BD16+'4.1 Comptes 2023 natures'!BD28+'4.1 Comptes 2023 natures'!BD40+'4.1 Comptes 2023 natures'!BD44+'4.1 Comptes 2023 natures'!BD54</f>
        <v>405813827.60000002</v>
      </c>
    </row>
    <row r="10" spans="1:3" x14ac:dyDescent="0.2">
      <c r="A10" s="97" t="s">
        <v>206</v>
      </c>
      <c r="B10" s="98" t="s">
        <v>200</v>
      </c>
      <c r="C10" s="99">
        <f>'4.1 Comptes 2023 natures'!BD77+'4.1 Comptes 2023 natures'!BD83+'4.1 Comptes 2023 natures'!BD89+'4.1 Comptes 2023 natures'!BD100+'4.1 Comptes 2023 natures'!BD118+'4.1 Comptes 2023 natures'!BD122+'4.1 Comptes 2023 natures'!BD129</f>
        <v>413918238.98999989</v>
      </c>
    </row>
    <row r="11" spans="1:3" ht="15" x14ac:dyDescent="0.25">
      <c r="A11" s="98"/>
      <c r="B11" s="100" t="s">
        <v>201</v>
      </c>
      <c r="C11" s="101">
        <f>C10-C9</f>
        <v>8104411.3899998665</v>
      </c>
    </row>
    <row r="12" spans="1:3" x14ac:dyDescent="0.2">
      <c r="A12" s="98"/>
      <c r="B12" s="98"/>
      <c r="C12" s="98"/>
    </row>
    <row r="13" spans="1:3" x14ac:dyDescent="0.2">
      <c r="A13" s="98">
        <v>34</v>
      </c>
      <c r="B13" s="98" t="s">
        <v>97</v>
      </c>
      <c r="C13" s="99">
        <f>'4.1 Comptes 2023 natures'!BD32</f>
        <v>10097855.279999999</v>
      </c>
    </row>
    <row r="14" spans="1:3" x14ac:dyDescent="0.2">
      <c r="A14" s="98">
        <v>44</v>
      </c>
      <c r="B14" s="98" t="s">
        <v>158</v>
      </c>
      <c r="C14" s="99">
        <f>'4.1 Comptes 2023 natures'!BD106</f>
        <v>19052522.049999997</v>
      </c>
    </row>
    <row r="15" spans="1:3" ht="15" x14ac:dyDescent="0.25">
      <c r="A15" s="98"/>
      <c r="B15" s="100" t="s">
        <v>234</v>
      </c>
      <c r="C15" s="101">
        <f>C14-C13</f>
        <v>8954666.7699999977</v>
      </c>
    </row>
    <row r="16" spans="1:3" x14ac:dyDescent="0.2">
      <c r="A16" s="98"/>
      <c r="B16" s="98"/>
      <c r="C16" s="98"/>
    </row>
    <row r="17" spans="1:3" ht="15" x14ac:dyDescent="0.25">
      <c r="A17" s="98"/>
      <c r="B17" s="100" t="s">
        <v>202</v>
      </c>
      <c r="C17" s="101">
        <f>C11+C15</f>
        <v>17059078.159999862</v>
      </c>
    </row>
    <row r="18" spans="1:3" x14ac:dyDescent="0.2">
      <c r="A18" s="98"/>
      <c r="B18" s="98"/>
      <c r="C18" s="98"/>
    </row>
    <row r="19" spans="1:3" x14ac:dyDescent="0.2">
      <c r="A19" s="98">
        <v>38</v>
      </c>
      <c r="B19" s="98" t="s">
        <v>117</v>
      </c>
      <c r="C19" s="99">
        <f>'4.1 Comptes 2023 natures'!BD57</f>
        <v>11718850.829999998</v>
      </c>
    </row>
    <row r="20" spans="1:3" x14ac:dyDescent="0.2">
      <c r="A20" s="98">
        <v>48</v>
      </c>
      <c r="B20" s="98" t="s">
        <v>177</v>
      </c>
      <c r="C20" s="99">
        <f>'4.1 Comptes 2023 natures'!BD132</f>
        <v>1955015.09</v>
      </c>
    </row>
    <row r="21" spans="1:3" ht="15" x14ac:dyDescent="0.25">
      <c r="A21" s="98"/>
      <c r="B21" s="100" t="s">
        <v>203</v>
      </c>
      <c r="C21" s="101">
        <f>C20-C19</f>
        <v>-9763835.7399999984</v>
      </c>
    </row>
    <row r="22" spans="1:3" x14ac:dyDescent="0.2">
      <c r="A22" s="98"/>
      <c r="B22" s="98"/>
      <c r="C22" s="98"/>
    </row>
    <row r="23" spans="1:3" ht="15" x14ac:dyDescent="0.25">
      <c r="A23" s="98"/>
      <c r="B23" s="100" t="s">
        <v>204</v>
      </c>
      <c r="C23" s="101">
        <f>C17+C21</f>
        <v>7295242.419999864</v>
      </c>
    </row>
    <row r="26" spans="1:3" ht="15" x14ac:dyDescent="0.25">
      <c r="A26" s="7" t="s">
        <v>207</v>
      </c>
    </row>
    <row r="27" spans="1:3" ht="15" x14ac:dyDescent="0.25">
      <c r="A27" s="7" t="s">
        <v>857</v>
      </c>
    </row>
    <row r="29" spans="1:3" ht="15" x14ac:dyDescent="0.25">
      <c r="A29" s="96" t="s">
        <v>196</v>
      </c>
      <c r="B29" s="96" t="s">
        <v>197</v>
      </c>
      <c r="C29" s="96" t="s">
        <v>198</v>
      </c>
    </row>
    <row r="30" spans="1:3" x14ac:dyDescent="0.2">
      <c r="A30" s="97" t="s">
        <v>205</v>
      </c>
      <c r="B30" s="98" t="s">
        <v>199</v>
      </c>
      <c r="C30" s="99">
        <f>'4.1 Comptes 2023 natures'!BE6+'4.1 Comptes 2023 natures'!BE16+'4.1 Comptes 2023 natures'!BE28+'4.1 Comptes 2023 natures'!BE40+'4.1 Comptes 2023 natures'!BE44+'4.1 Comptes 2023 natures'!BE54</f>
        <v>224571075.38000005</v>
      </c>
    </row>
    <row r="31" spans="1:3" x14ac:dyDescent="0.2">
      <c r="A31" s="97" t="s">
        <v>206</v>
      </c>
      <c r="B31" s="98" t="s">
        <v>200</v>
      </c>
      <c r="C31" s="99">
        <f>'4.1 Comptes 2023 natures'!BE77+'4.1 Comptes 2023 natures'!BE83+'4.1 Comptes 2023 natures'!BE89+'4.1 Comptes 2023 natures'!BE100+'4.1 Comptes 2023 natures'!BE118+'4.1 Comptes 2023 natures'!BE122+'4.1 Comptes 2023 natures'!BE129</f>
        <v>220821769.23999998</v>
      </c>
    </row>
    <row r="32" spans="1:3" ht="15" x14ac:dyDescent="0.25">
      <c r="A32" s="98"/>
      <c r="B32" s="100" t="s">
        <v>201</v>
      </c>
      <c r="C32" s="101">
        <f>C31-C30</f>
        <v>-3749306.1400000751</v>
      </c>
    </row>
    <row r="33" spans="1:3" x14ac:dyDescent="0.2">
      <c r="A33" s="98"/>
      <c r="B33" s="98"/>
      <c r="C33" s="99"/>
    </row>
    <row r="34" spans="1:3" x14ac:dyDescent="0.2">
      <c r="A34" s="98">
        <v>34</v>
      </c>
      <c r="B34" s="98" t="s">
        <v>97</v>
      </c>
      <c r="C34" s="99">
        <f>'4.1 Comptes 2023 natures'!BE32</f>
        <v>5671777.169999999</v>
      </c>
    </row>
    <row r="35" spans="1:3" x14ac:dyDescent="0.2">
      <c r="A35" s="98">
        <v>44</v>
      </c>
      <c r="B35" s="98" t="s">
        <v>158</v>
      </c>
      <c r="C35" s="99">
        <f>'4.1 Comptes 2023 natures'!BE106</f>
        <v>10024002.520000001</v>
      </c>
    </row>
    <row r="36" spans="1:3" ht="15" x14ac:dyDescent="0.25">
      <c r="A36" s="98"/>
      <c r="B36" s="100" t="s">
        <v>234</v>
      </c>
      <c r="C36" s="101">
        <f>C35-C34</f>
        <v>4352225.3500000024</v>
      </c>
    </row>
    <row r="37" spans="1:3" x14ac:dyDescent="0.2">
      <c r="A37" s="98"/>
      <c r="B37" s="98"/>
      <c r="C37" s="99"/>
    </row>
    <row r="38" spans="1:3" ht="15" x14ac:dyDescent="0.25">
      <c r="A38" s="98"/>
      <c r="B38" s="100" t="s">
        <v>202</v>
      </c>
      <c r="C38" s="101">
        <f>C32+C36</f>
        <v>602919.20999992732</v>
      </c>
    </row>
    <row r="39" spans="1:3" x14ac:dyDescent="0.2">
      <c r="A39" s="98"/>
      <c r="B39" s="98"/>
      <c r="C39" s="99"/>
    </row>
    <row r="40" spans="1:3" x14ac:dyDescent="0.2">
      <c r="A40" s="98">
        <v>38</v>
      </c>
      <c r="B40" s="98" t="s">
        <v>117</v>
      </c>
      <c r="C40" s="99">
        <f>'4.1 Comptes 2023 natures'!BE57</f>
        <v>1935138.0599999998</v>
      </c>
    </row>
    <row r="41" spans="1:3" x14ac:dyDescent="0.2">
      <c r="A41" s="98">
        <v>48</v>
      </c>
      <c r="B41" s="98" t="s">
        <v>177</v>
      </c>
      <c r="C41" s="99">
        <f>'4.1 Comptes 2023 natures'!BE132</f>
        <v>1911100.2900000003</v>
      </c>
    </row>
    <row r="42" spans="1:3" ht="15" x14ac:dyDescent="0.25">
      <c r="A42" s="98"/>
      <c r="B42" s="100" t="s">
        <v>203</v>
      </c>
      <c r="C42" s="101">
        <f>C41-C40</f>
        <v>-24037.769999999553</v>
      </c>
    </row>
    <row r="43" spans="1:3" x14ac:dyDescent="0.2">
      <c r="A43" s="98"/>
      <c r="B43" s="98"/>
      <c r="C43" s="99"/>
    </row>
    <row r="44" spans="1:3" ht="15" x14ac:dyDescent="0.25">
      <c r="A44" s="98"/>
      <c r="B44" s="100" t="s">
        <v>204</v>
      </c>
      <c r="C44" s="101">
        <f>C38+C42</f>
        <v>578881.43999992777</v>
      </c>
    </row>
    <row r="51" spans="1:3" ht="15" x14ac:dyDescent="0.25">
      <c r="A51" s="7" t="s">
        <v>208</v>
      </c>
    </row>
    <row r="52" spans="1:3" ht="15" x14ac:dyDescent="0.25">
      <c r="A52" s="7" t="s">
        <v>857</v>
      </c>
    </row>
    <row r="54" spans="1:3" ht="15" x14ac:dyDescent="0.25">
      <c r="A54" s="96" t="s">
        <v>196</v>
      </c>
      <c r="B54" s="96" t="s">
        <v>197</v>
      </c>
      <c r="C54" s="96" t="s">
        <v>198</v>
      </c>
    </row>
    <row r="55" spans="1:3" x14ac:dyDescent="0.2">
      <c r="A55" s="97" t="s">
        <v>205</v>
      </c>
      <c r="B55" s="98" t="s">
        <v>199</v>
      </c>
      <c r="C55" s="99">
        <f>'4.1 Comptes 2023 natures'!BF6+'4.1 Comptes 2023 natures'!BF16+'4.1 Comptes 2023 natures'!BF28+'4.1 Comptes 2023 natures'!BF40+'4.1 Comptes 2023 natures'!BF44+'4.1 Comptes 2023 natures'!BF54</f>
        <v>58086159.510000013</v>
      </c>
    </row>
    <row r="56" spans="1:3" x14ac:dyDescent="0.2">
      <c r="A56" s="97" t="s">
        <v>206</v>
      </c>
      <c r="B56" s="98" t="s">
        <v>200</v>
      </c>
      <c r="C56" s="99">
        <f>'4.1 Comptes 2023 natures'!BF77+'4.1 Comptes 2023 natures'!BF83+'4.1 Comptes 2023 natures'!BF89+'4.1 Comptes 2023 natures'!BF100+'4.1 Comptes 2023 natures'!BF118+'4.1 Comptes 2023 natures'!BF122+'4.1 Comptes 2023 natures'!BF129</f>
        <v>67811507.739999995</v>
      </c>
    </row>
    <row r="57" spans="1:3" ht="15" x14ac:dyDescent="0.25">
      <c r="A57" s="98"/>
      <c r="B57" s="100" t="s">
        <v>201</v>
      </c>
      <c r="C57" s="101">
        <f>C56-C55</f>
        <v>9725348.2299999818</v>
      </c>
    </row>
    <row r="58" spans="1:3" x14ac:dyDescent="0.2">
      <c r="A58" s="98"/>
      <c r="B58" s="98"/>
      <c r="C58" s="99"/>
    </row>
    <row r="59" spans="1:3" x14ac:dyDescent="0.2">
      <c r="A59" s="98">
        <v>34</v>
      </c>
      <c r="B59" s="98" t="s">
        <v>97</v>
      </c>
      <c r="C59" s="99">
        <f>'4.1 Comptes 2023 natures'!BF32</f>
        <v>852272.11</v>
      </c>
    </row>
    <row r="60" spans="1:3" x14ac:dyDescent="0.2">
      <c r="A60" s="98">
        <v>44</v>
      </c>
      <c r="B60" s="98" t="s">
        <v>158</v>
      </c>
      <c r="C60" s="99">
        <f>'4.1 Comptes 2023 natures'!BF106</f>
        <v>2418099.7999999998</v>
      </c>
    </row>
    <row r="61" spans="1:3" ht="15" x14ac:dyDescent="0.25">
      <c r="A61" s="98"/>
      <c r="B61" s="100" t="s">
        <v>234</v>
      </c>
      <c r="C61" s="101">
        <f>C60-C59</f>
        <v>1565827.69</v>
      </c>
    </row>
    <row r="62" spans="1:3" x14ac:dyDescent="0.2">
      <c r="A62" s="98"/>
      <c r="B62" s="98"/>
      <c r="C62" s="99"/>
    </row>
    <row r="63" spans="1:3" ht="15" x14ac:dyDescent="0.25">
      <c r="A63" s="98"/>
      <c r="B63" s="100" t="s">
        <v>202</v>
      </c>
      <c r="C63" s="101">
        <f>C57+C61</f>
        <v>11291175.919999981</v>
      </c>
    </row>
    <row r="64" spans="1:3" x14ac:dyDescent="0.2">
      <c r="A64" s="98"/>
      <c r="B64" s="98"/>
      <c r="C64" s="99"/>
    </row>
    <row r="65" spans="1:3" x14ac:dyDescent="0.2">
      <c r="A65" s="98">
        <v>38</v>
      </c>
      <c r="B65" s="98" t="s">
        <v>117</v>
      </c>
      <c r="C65" s="99">
        <f>'4.1 Comptes 2023 natures'!BF57</f>
        <v>5208774.6899999995</v>
      </c>
    </row>
    <row r="66" spans="1:3" x14ac:dyDescent="0.2">
      <c r="A66" s="98">
        <v>48</v>
      </c>
      <c r="B66" s="98" t="s">
        <v>177</v>
      </c>
      <c r="C66" s="99">
        <f>'4.1 Comptes 2023 natures'!BF132</f>
        <v>37005.4</v>
      </c>
    </row>
    <row r="67" spans="1:3" ht="15" x14ac:dyDescent="0.25">
      <c r="A67" s="98"/>
      <c r="B67" s="100" t="s">
        <v>203</v>
      </c>
      <c r="C67" s="101">
        <f>C66-C65</f>
        <v>-5171769.2899999991</v>
      </c>
    </row>
    <row r="68" spans="1:3" x14ac:dyDescent="0.2">
      <c r="A68" s="98"/>
      <c r="B68" s="98"/>
      <c r="C68" s="99"/>
    </row>
    <row r="69" spans="1:3" ht="15" x14ac:dyDescent="0.25">
      <c r="A69" s="98"/>
      <c r="B69" s="100" t="s">
        <v>204</v>
      </c>
      <c r="C69" s="101">
        <f>C63+C67</f>
        <v>6119406.6299999822</v>
      </c>
    </row>
    <row r="72" spans="1:3" ht="15" x14ac:dyDescent="0.25">
      <c r="A72" s="7" t="s">
        <v>209</v>
      </c>
    </row>
    <row r="73" spans="1:3" ht="15" x14ac:dyDescent="0.25">
      <c r="A73" s="7" t="s">
        <v>857</v>
      </c>
    </row>
    <row r="75" spans="1:3" ht="15" x14ac:dyDescent="0.25">
      <c r="A75" s="96" t="s">
        <v>196</v>
      </c>
      <c r="B75" s="96" t="s">
        <v>197</v>
      </c>
      <c r="C75" s="96" t="s">
        <v>198</v>
      </c>
    </row>
    <row r="76" spans="1:3" x14ac:dyDescent="0.2">
      <c r="A76" s="97" t="s">
        <v>205</v>
      </c>
      <c r="B76" s="98" t="s">
        <v>199</v>
      </c>
      <c r="C76" s="99">
        <f>'4.1 Comptes 2023 natures'!BG6+'4.1 Comptes 2023 natures'!BG16+'4.1 Comptes 2023 natures'!BG28+'4.1 Comptes 2023 natures'!BG40+'4.1 Comptes 2023 natures'!BG44+'4.1 Comptes 2023 natures'!BG54</f>
        <v>123156592.71000001</v>
      </c>
    </row>
    <row r="77" spans="1:3" x14ac:dyDescent="0.2">
      <c r="A77" s="97" t="s">
        <v>206</v>
      </c>
      <c r="B77" s="98" t="s">
        <v>200</v>
      </c>
      <c r="C77" s="99">
        <f>'4.1 Comptes 2023 natures'!BG77+'4.1 Comptes 2023 natures'!BG83+'4.1 Comptes 2023 natures'!BG89+'4.1 Comptes 2023 natures'!BG100+'4.1 Comptes 2023 natures'!BG118+'4.1 Comptes 2023 natures'!BG122+'4.1 Comptes 2023 natures'!BG129</f>
        <v>125284962.01000001</v>
      </c>
    </row>
    <row r="78" spans="1:3" ht="15" x14ac:dyDescent="0.25">
      <c r="A78" s="98"/>
      <c r="B78" s="100" t="s">
        <v>201</v>
      </c>
      <c r="C78" s="101">
        <f>C77-C76</f>
        <v>2128369.299999997</v>
      </c>
    </row>
    <row r="79" spans="1:3" x14ac:dyDescent="0.2">
      <c r="A79" s="98"/>
      <c r="B79" s="98"/>
      <c r="C79" s="99"/>
    </row>
    <row r="80" spans="1:3" x14ac:dyDescent="0.2">
      <c r="A80" s="98">
        <v>34</v>
      </c>
      <c r="B80" s="98" t="s">
        <v>97</v>
      </c>
      <c r="C80" s="99">
        <f>'4.1 Comptes 2023 natures'!BG32</f>
        <v>3573806</v>
      </c>
    </row>
    <row r="81" spans="1:3" x14ac:dyDescent="0.2">
      <c r="A81" s="98">
        <v>44</v>
      </c>
      <c r="B81" s="98" t="s">
        <v>158</v>
      </c>
      <c r="C81" s="99">
        <f>'4.1 Comptes 2023 natures'!BG106</f>
        <v>6610419.7300000004</v>
      </c>
    </row>
    <row r="82" spans="1:3" ht="15" x14ac:dyDescent="0.25">
      <c r="A82" s="98"/>
      <c r="B82" s="100" t="s">
        <v>234</v>
      </c>
      <c r="C82" s="101">
        <f>C81-C80</f>
        <v>3036613.7300000004</v>
      </c>
    </row>
    <row r="83" spans="1:3" x14ac:dyDescent="0.2">
      <c r="A83" s="98"/>
      <c r="B83" s="98"/>
      <c r="C83" s="99"/>
    </row>
    <row r="84" spans="1:3" ht="15" x14ac:dyDescent="0.25">
      <c r="A84" s="98"/>
      <c r="B84" s="100" t="s">
        <v>202</v>
      </c>
      <c r="C84" s="101">
        <f>C78+C82</f>
        <v>5164983.0299999975</v>
      </c>
    </row>
    <row r="85" spans="1:3" x14ac:dyDescent="0.2">
      <c r="A85" s="98"/>
      <c r="B85" s="98"/>
      <c r="C85" s="99"/>
    </row>
    <row r="86" spans="1:3" x14ac:dyDescent="0.2">
      <c r="A86" s="98">
        <v>38</v>
      </c>
      <c r="B86" s="98" t="s">
        <v>117</v>
      </c>
      <c r="C86" s="99">
        <f>'4.1 Comptes 2023 natures'!BG57</f>
        <v>4574938.08</v>
      </c>
    </row>
    <row r="87" spans="1:3" x14ac:dyDescent="0.2">
      <c r="A87" s="98">
        <v>48</v>
      </c>
      <c r="B87" s="98" t="s">
        <v>177</v>
      </c>
      <c r="C87" s="99">
        <f>'4.1 Comptes 2023 natures'!BG132</f>
        <v>6909.4</v>
      </c>
    </row>
    <row r="88" spans="1:3" ht="15" x14ac:dyDescent="0.25">
      <c r="A88" s="98"/>
      <c r="B88" s="100" t="s">
        <v>203</v>
      </c>
      <c r="C88" s="101">
        <f>C87-C86</f>
        <v>-4568028.68</v>
      </c>
    </row>
    <row r="89" spans="1:3" x14ac:dyDescent="0.2">
      <c r="A89" s="98"/>
      <c r="B89" s="98"/>
      <c r="C89" s="99"/>
    </row>
    <row r="90" spans="1:3" ht="15" x14ac:dyDescent="0.25">
      <c r="A90" s="98"/>
      <c r="B90" s="100" t="s">
        <v>204</v>
      </c>
      <c r="C90" s="101">
        <f>C84+C88</f>
        <v>596954.34999999776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581</v>
      </c>
    </row>
    <row r="6" spans="1:3" ht="15.75" thickBot="1" x14ac:dyDescent="0.3">
      <c r="B6" s="92" t="s">
        <v>23</v>
      </c>
    </row>
    <row r="8" spans="1:3" ht="15" x14ac:dyDescent="0.25">
      <c r="A8" s="96" t="s">
        <v>196</v>
      </c>
      <c r="B8" s="96" t="s">
        <v>197</v>
      </c>
      <c r="C8" s="96" t="s">
        <v>198</v>
      </c>
    </row>
    <row r="9" spans="1:3" x14ac:dyDescent="0.2">
      <c r="A9" s="97" t="s">
        <v>205</v>
      </c>
      <c r="B9" s="98" t="s">
        <v>199</v>
      </c>
      <c r="C9" s="99">
        <f>HLOOKUP($B$6,'4.1 Comptes 2023 natures'!$E$4:$BC$174,169,0)</f>
        <v>1046603.25</v>
      </c>
    </row>
    <row r="10" spans="1:3" x14ac:dyDescent="0.2">
      <c r="A10" s="97" t="s">
        <v>206</v>
      </c>
      <c r="B10" s="98" t="s">
        <v>200</v>
      </c>
      <c r="C10" s="99">
        <f>HLOOKUP($B$6,'4.1 Comptes 2023 natures'!$E$4:$BC$174,170,0)</f>
        <v>1594405.8399999999</v>
      </c>
    </row>
    <row r="11" spans="1:3" ht="15" x14ac:dyDescent="0.25">
      <c r="A11" s="98"/>
      <c r="B11" s="100" t="s">
        <v>201</v>
      </c>
      <c r="C11" s="101">
        <f>C10-C9</f>
        <v>547802.58999999985</v>
      </c>
    </row>
    <row r="12" spans="1:3" x14ac:dyDescent="0.2">
      <c r="A12" s="98"/>
      <c r="B12" s="98"/>
      <c r="C12" s="98"/>
    </row>
    <row r="13" spans="1:3" x14ac:dyDescent="0.2">
      <c r="A13" s="98">
        <v>34</v>
      </c>
      <c r="B13" s="98" t="s">
        <v>97</v>
      </c>
      <c r="C13" s="99">
        <f>HLOOKUP($B$6,'4.1 Comptes 2023 natures'!$E$4:$BC$174,29,0)</f>
        <v>21291.29</v>
      </c>
    </row>
    <row r="14" spans="1:3" x14ac:dyDescent="0.2">
      <c r="A14" s="98">
        <v>44</v>
      </c>
      <c r="B14" s="98" t="s">
        <v>158</v>
      </c>
      <c r="C14" s="99">
        <f>HLOOKUP($B$6,'4.1 Comptes 2023 natures'!$E$4:$BC$174,103,0)</f>
        <v>50449.56</v>
      </c>
    </row>
    <row r="15" spans="1:3" ht="15" x14ac:dyDescent="0.25">
      <c r="A15" s="98"/>
      <c r="B15" s="100" t="s">
        <v>234</v>
      </c>
      <c r="C15" s="101">
        <f>C14-C13</f>
        <v>29158.269999999997</v>
      </c>
    </row>
    <row r="16" spans="1:3" x14ac:dyDescent="0.2">
      <c r="A16" s="98"/>
      <c r="B16" s="98"/>
      <c r="C16" s="98"/>
    </row>
    <row r="17" spans="1:3" ht="15" x14ac:dyDescent="0.25">
      <c r="A17" s="98"/>
      <c r="B17" s="100" t="s">
        <v>202</v>
      </c>
      <c r="C17" s="101">
        <f>C11+C15</f>
        <v>576960.85999999987</v>
      </c>
    </row>
    <row r="18" spans="1:3" x14ac:dyDescent="0.2">
      <c r="A18" s="98"/>
      <c r="B18" s="98"/>
      <c r="C18" s="98"/>
    </row>
    <row r="19" spans="1:3" x14ac:dyDescent="0.2">
      <c r="A19" s="98">
        <v>38</v>
      </c>
      <c r="B19" s="98" t="s">
        <v>117</v>
      </c>
      <c r="C19" s="99">
        <f>HLOOKUP($B$6,'4.1 Comptes 2023 natures'!$E$4:$BC$174,54,0)</f>
        <v>300000</v>
      </c>
    </row>
    <row r="20" spans="1:3" x14ac:dyDescent="0.2">
      <c r="A20" s="98">
        <v>48</v>
      </c>
      <c r="B20" s="98" t="s">
        <v>177</v>
      </c>
      <c r="C20" s="99">
        <f>HLOOKUP($B$6,'4.1 Comptes 2023 natures'!$E$4:$BC$174,129,0)</f>
        <v>338</v>
      </c>
    </row>
    <row r="21" spans="1:3" ht="15" x14ac:dyDescent="0.25">
      <c r="A21" s="98"/>
      <c r="B21" s="100" t="s">
        <v>203</v>
      </c>
      <c r="C21" s="101">
        <f>C20-C19</f>
        <v>-299662</v>
      </c>
    </row>
    <row r="22" spans="1:3" x14ac:dyDescent="0.2">
      <c r="A22" s="98"/>
      <c r="B22" s="98"/>
      <c r="C22" s="98"/>
    </row>
    <row r="23" spans="1:3" ht="15" x14ac:dyDescent="0.25">
      <c r="A23" s="98"/>
      <c r="B23" s="100" t="s">
        <v>204</v>
      </c>
      <c r="C23" s="101">
        <f>C17+C21</f>
        <v>277298.85999999987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A3" sqref="A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2" t="s">
        <v>218</v>
      </c>
    </row>
    <row r="5" spans="1:4" ht="15" x14ac:dyDescent="0.25">
      <c r="A5" s="7" t="s">
        <v>195</v>
      </c>
    </row>
    <row r="6" spans="1:4" ht="15" x14ac:dyDescent="0.25">
      <c r="A6" s="7" t="s">
        <v>858</v>
      </c>
    </row>
    <row r="8" spans="1:4" ht="15" x14ac:dyDescent="0.25">
      <c r="A8" s="96" t="s">
        <v>219</v>
      </c>
      <c r="B8" s="96"/>
      <c r="C8" s="96" t="s">
        <v>197</v>
      </c>
      <c r="D8" s="96" t="s">
        <v>198</v>
      </c>
    </row>
    <row r="9" spans="1:4" x14ac:dyDescent="0.2">
      <c r="A9" s="98">
        <v>90</v>
      </c>
      <c r="B9" s="102"/>
      <c r="C9" s="98" t="s">
        <v>191</v>
      </c>
      <c r="D9" s="99">
        <f>'4.1 Comptes 2023 natures'!BD154</f>
        <v>7304478.7700000005</v>
      </c>
    </row>
    <row r="10" spans="1:4" x14ac:dyDescent="0.2">
      <c r="A10" s="98">
        <v>33</v>
      </c>
      <c r="B10" s="102" t="s">
        <v>221</v>
      </c>
      <c r="C10" s="98" t="s">
        <v>94</v>
      </c>
      <c r="D10" s="99">
        <f>'4.1 Comptes 2023 natures'!BD28</f>
        <v>24783612.750000004</v>
      </c>
    </row>
    <row r="11" spans="1:4" x14ac:dyDescent="0.2">
      <c r="A11" s="98">
        <v>35</v>
      </c>
      <c r="B11" s="102" t="s">
        <v>221</v>
      </c>
      <c r="C11" s="98" t="s">
        <v>223</v>
      </c>
      <c r="D11" s="99">
        <f>'4.1 Comptes 2023 natures'!BD40</f>
        <v>5157290.8100000005</v>
      </c>
    </row>
    <row r="12" spans="1:4" x14ac:dyDescent="0.2">
      <c r="A12" s="98">
        <v>45</v>
      </c>
      <c r="B12" s="102" t="s">
        <v>222</v>
      </c>
      <c r="C12" s="98" t="s">
        <v>170</v>
      </c>
      <c r="D12" s="99">
        <f>'4.1 Comptes 2023 natures'!BD118</f>
        <v>2705214.36</v>
      </c>
    </row>
    <row r="13" spans="1:4" x14ac:dyDescent="0.2">
      <c r="A13" s="98">
        <v>364</v>
      </c>
      <c r="B13" s="102" t="s">
        <v>221</v>
      </c>
      <c r="C13" s="98" t="s">
        <v>230</v>
      </c>
      <c r="D13" s="99">
        <f>'4.1 Comptes 2023 natures'!BD49</f>
        <v>0</v>
      </c>
    </row>
    <row r="14" spans="1:4" x14ac:dyDescent="0.2">
      <c r="A14" s="98">
        <v>365</v>
      </c>
      <c r="B14" s="102" t="s">
        <v>221</v>
      </c>
      <c r="C14" s="98" t="s">
        <v>231</v>
      </c>
      <c r="D14" s="99">
        <f>'4.1 Comptes 2023 natures'!BD50</f>
        <v>21100</v>
      </c>
    </row>
    <row r="15" spans="1:4" x14ac:dyDescent="0.2">
      <c r="A15" s="98">
        <v>366</v>
      </c>
      <c r="B15" s="102" t="s">
        <v>221</v>
      </c>
      <c r="C15" s="98" t="s">
        <v>228</v>
      </c>
      <c r="D15" s="99">
        <f>'4.1 Comptes 2023 natures'!BD51</f>
        <v>904263.03000000014</v>
      </c>
    </row>
    <row r="16" spans="1:4" x14ac:dyDescent="0.2">
      <c r="A16" s="98">
        <v>389</v>
      </c>
      <c r="B16" s="102" t="s">
        <v>221</v>
      </c>
      <c r="C16" s="98" t="s">
        <v>224</v>
      </c>
      <c r="D16" s="99">
        <f>'4.1 Comptes 2023 natures'!BD63</f>
        <v>11704072.629999999</v>
      </c>
    </row>
    <row r="17" spans="1:4" x14ac:dyDescent="0.2">
      <c r="A17" s="98">
        <v>4490</v>
      </c>
      <c r="B17" s="102" t="s">
        <v>222</v>
      </c>
      <c r="C17" s="98" t="s">
        <v>232</v>
      </c>
      <c r="D17" s="99">
        <f>'4.1 Comptes 2023 natures'!BD165</f>
        <v>8518.369999999999</v>
      </c>
    </row>
    <row r="18" spans="1:4" x14ac:dyDescent="0.2">
      <c r="A18" s="98">
        <v>489</v>
      </c>
      <c r="B18" s="102" t="s">
        <v>222</v>
      </c>
      <c r="C18" s="98" t="s">
        <v>229</v>
      </c>
      <c r="D18" s="99">
        <f>'4.1 Comptes 2023 natures'!BD139</f>
        <v>1899119.4600000002</v>
      </c>
    </row>
    <row r="19" spans="1:4" x14ac:dyDescent="0.2">
      <c r="A19" s="98"/>
      <c r="B19" s="102"/>
      <c r="C19" s="98"/>
      <c r="D19" s="99"/>
    </row>
    <row r="20" spans="1:4" ht="15" x14ac:dyDescent="0.25">
      <c r="A20" s="103"/>
      <c r="B20" s="103"/>
      <c r="C20" s="100" t="s">
        <v>225</v>
      </c>
      <c r="D20" s="101">
        <f>D9+D10+D11-D12+D13+D14+D15+D16-D17-D18</f>
        <v>45261965.800000012</v>
      </c>
    </row>
    <row r="21" spans="1:4" x14ac:dyDescent="0.2">
      <c r="A21" s="98"/>
      <c r="B21" s="98"/>
      <c r="C21" s="98"/>
      <c r="D21" s="99"/>
    </row>
    <row r="22" spans="1:4" x14ac:dyDescent="0.2">
      <c r="A22" s="98" t="s">
        <v>220</v>
      </c>
      <c r="B22" s="104" t="s">
        <v>222</v>
      </c>
      <c r="C22" s="98" t="s">
        <v>226</v>
      </c>
      <c r="D22" s="99">
        <f>'6.1 Investissements'!BD183</f>
        <v>45784593.650000006</v>
      </c>
    </row>
    <row r="23" spans="1:4" x14ac:dyDescent="0.2">
      <c r="A23" s="98"/>
      <c r="B23" s="98"/>
      <c r="C23" s="98"/>
      <c r="D23" s="99"/>
    </row>
    <row r="24" spans="1:4" ht="15" x14ac:dyDescent="0.25">
      <c r="A24" s="103"/>
      <c r="B24" s="103"/>
      <c r="C24" s="100" t="s">
        <v>227</v>
      </c>
      <c r="D24" s="101">
        <f>D20-D22</f>
        <v>-522627.84999999404</v>
      </c>
    </row>
    <row r="27" spans="1:4" ht="15" x14ac:dyDescent="0.25">
      <c r="A27" s="7" t="s">
        <v>207</v>
      </c>
    </row>
    <row r="28" spans="1:4" ht="15" x14ac:dyDescent="0.25">
      <c r="A28" s="7" t="s">
        <v>858</v>
      </c>
    </row>
    <row r="30" spans="1:4" ht="15" x14ac:dyDescent="0.25">
      <c r="A30" s="96" t="s">
        <v>219</v>
      </c>
      <c r="B30" s="96"/>
      <c r="C30" s="96" t="s">
        <v>197</v>
      </c>
      <c r="D30" s="96" t="s">
        <v>198</v>
      </c>
    </row>
    <row r="31" spans="1:4" x14ac:dyDescent="0.2">
      <c r="A31" s="98">
        <v>90</v>
      </c>
      <c r="B31" s="102"/>
      <c r="C31" s="98" t="s">
        <v>191</v>
      </c>
      <c r="D31" s="99">
        <f>'4.1 Comptes 2023 natures'!BE154</f>
        <v>588117.79</v>
      </c>
    </row>
    <row r="32" spans="1:4" x14ac:dyDescent="0.2">
      <c r="A32" s="98">
        <v>33</v>
      </c>
      <c r="B32" s="102" t="s">
        <v>221</v>
      </c>
      <c r="C32" s="98" t="s">
        <v>94</v>
      </c>
      <c r="D32" s="99">
        <f>'4.1 Comptes 2023 natures'!BE28</f>
        <v>13110234.160000004</v>
      </c>
    </row>
    <row r="33" spans="1:4" x14ac:dyDescent="0.2">
      <c r="A33" s="98">
        <v>35</v>
      </c>
      <c r="B33" s="102" t="s">
        <v>221</v>
      </c>
      <c r="C33" s="98" t="s">
        <v>223</v>
      </c>
      <c r="D33" s="99">
        <f>'4.1 Comptes 2023 natures'!BE40</f>
        <v>2384056.29</v>
      </c>
    </row>
    <row r="34" spans="1:4" x14ac:dyDescent="0.2">
      <c r="A34" s="98">
        <v>45</v>
      </c>
      <c r="B34" s="102" t="s">
        <v>222</v>
      </c>
      <c r="C34" s="98" t="s">
        <v>170</v>
      </c>
      <c r="D34" s="99">
        <f>'4.1 Comptes 2023 natures'!BE118</f>
        <v>1452856.8900000001</v>
      </c>
    </row>
    <row r="35" spans="1:4" x14ac:dyDescent="0.2">
      <c r="A35" s="98">
        <v>364</v>
      </c>
      <c r="B35" s="102" t="s">
        <v>221</v>
      </c>
      <c r="C35" s="98" t="s">
        <v>230</v>
      </c>
      <c r="D35" s="99">
        <f>'4.1 Comptes 2023 natures'!BE49</f>
        <v>0</v>
      </c>
    </row>
    <row r="36" spans="1:4" x14ac:dyDescent="0.2">
      <c r="A36" s="98">
        <v>365</v>
      </c>
      <c r="B36" s="102" t="s">
        <v>221</v>
      </c>
      <c r="C36" s="98" t="s">
        <v>231</v>
      </c>
      <c r="D36" s="99">
        <f>'4.1 Comptes 2023 natures'!BE50</f>
        <v>8100</v>
      </c>
    </row>
    <row r="37" spans="1:4" x14ac:dyDescent="0.2">
      <c r="A37" s="98">
        <v>366</v>
      </c>
      <c r="B37" s="102" t="s">
        <v>221</v>
      </c>
      <c r="C37" s="98" t="s">
        <v>228</v>
      </c>
      <c r="D37" s="99">
        <f>'4.1 Comptes 2023 natures'!BE51</f>
        <v>897353.63000000012</v>
      </c>
    </row>
    <row r="38" spans="1:4" x14ac:dyDescent="0.2">
      <c r="A38" s="98">
        <v>389</v>
      </c>
      <c r="B38" s="102" t="s">
        <v>221</v>
      </c>
      <c r="C38" s="98" t="s">
        <v>224</v>
      </c>
      <c r="D38" s="99">
        <f>'4.1 Comptes 2023 natures'!BE63</f>
        <v>1920359.8599999999</v>
      </c>
    </row>
    <row r="39" spans="1:4" x14ac:dyDescent="0.2">
      <c r="A39" s="98">
        <v>4490</v>
      </c>
      <c r="B39" s="102" t="s">
        <v>222</v>
      </c>
      <c r="C39" s="98" t="s">
        <v>232</v>
      </c>
      <c r="D39" s="99">
        <f>'4.1 Comptes 2023 natures'!BE165</f>
        <v>1566.5</v>
      </c>
    </row>
    <row r="40" spans="1:4" x14ac:dyDescent="0.2">
      <c r="A40" s="98">
        <v>489</v>
      </c>
      <c r="B40" s="102" t="s">
        <v>222</v>
      </c>
      <c r="C40" s="98" t="s">
        <v>229</v>
      </c>
      <c r="D40" s="99">
        <f>'4.1 Comptes 2023 natures'!BE139</f>
        <v>1892548.0600000003</v>
      </c>
    </row>
    <row r="41" spans="1:4" x14ac:dyDescent="0.2">
      <c r="A41" s="98"/>
      <c r="B41" s="102"/>
      <c r="C41" s="98"/>
      <c r="D41" s="99"/>
    </row>
    <row r="42" spans="1:4" ht="15" x14ac:dyDescent="0.25">
      <c r="A42" s="103"/>
      <c r="B42" s="103"/>
      <c r="C42" s="100" t="s">
        <v>225</v>
      </c>
      <c r="D42" s="101">
        <f>D31+D32+D33-D34+D35+D36+D37+D38-D39-D40</f>
        <v>15561250.280000003</v>
      </c>
    </row>
    <row r="43" spans="1:4" x14ac:dyDescent="0.2">
      <c r="A43" s="98"/>
      <c r="B43" s="98"/>
      <c r="C43" s="98"/>
      <c r="D43" s="99"/>
    </row>
    <row r="44" spans="1:4" x14ac:dyDescent="0.2">
      <c r="A44" s="98" t="s">
        <v>220</v>
      </c>
      <c r="B44" s="104" t="s">
        <v>222</v>
      </c>
      <c r="C44" s="98" t="s">
        <v>226</v>
      </c>
      <c r="D44" s="99">
        <f>'6.1 Investissements'!BE183</f>
        <v>26873702.780000005</v>
      </c>
    </row>
    <row r="45" spans="1:4" x14ac:dyDescent="0.2">
      <c r="A45" s="98"/>
      <c r="B45" s="98"/>
      <c r="C45" s="98"/>
      <c r="D45" s="99"/>
    </row>
    <row r="46" spans="1:4" ht="15" x14ac:dyDescent="0.25">
      <c r="A46" s="103"/>
      <c r="B46" s="103"/>
      <c r="C46" s="100" t="s">
        <v>227</v>
      </c>
      <c r="D46" s="101">
        <f>D42-D44</f>
        <v>-11312452.500000002</v>
      </c>
    </row>
    <row r="51" spans="1:4" ht="15" x14ac:dyDescent="0.25">
      <c r="A51" s="7" t="s">
        <v>208</v>
      </c>
    </row>
    <row r="52" spans="1:4" ht="15" x14ac:dyDescent="0.25">
      <c r="A52" s="7" t="s">
        <v>858</v>
      </c>
    </row>
    <row r="54" spans="1:4" ht="15" x14ac:dyDescent="0.25">
      <c r="A54" s="96" t="s">
        <v>219</v>
      </c>
      <c r="B54" s="96"/>
      <c r="C54" s="96" t="s">
        <v>197</v>
      </c>
      <c r="D54" s="96" t="s">
        <v>198</v>
      </c>
    </row>
    <row r="55" spans="1:4" x14ac:dyDescent="0.2">
      <c r="A55" s="98">
        <v>90</v>
      </c>
      <c r="B55" s="102"/>
      <c r="C55" s="98" t="s">
        <v>191</v>
      </c>
      <c r="D55" s="99">
        <f>'4.1 Comptes 2023 natures'!BF154</f>
        <v>6119406.6300000008</v>
      </c>
    </row>
    <row r="56" spans="1:4" x14ac:dyDescent="0.2">
      <c r="A56" s="98">
        <v>33</v>
      </c>
      <c r="B56" s="102" t="s">
        <v>221</v>
      </c>
      <c r="C56" s="98" t="s">
        <v>94</v>
      </c>
      <c r="D56" s="99">
        <f>'4.1 Comptes 2023 natures'!BF28</f>
        <v>3086034.5600000005</v>
      </c>
    </row>
    <row r="57" spans="1:4" x14ac:dyDescent="0.2">
      <c r="A57" s="98">
        <v>35</v>
      </c>
      <c r="B57" s="102" t="s">
        <v>221</v>
      </c>
      <c r="C57" s="98" t="s">
        <v>223</v>
      </c>
      <c r="D57" s="99">
        <f>'4.1 Comptes 2023 natures'!BF40</f>
        <v>480490.28</v>
      </c>
    </row>
    <row r="58" spans="1:4" x14ac:dyDescent="0.2">
      <c r="A58" s="98">
        <v>45</v>
      </c>
      <c r="B58" s="102" t="s">
        <v>222</v>
      </c>
      <c r="C58" s="98" t="s">
        <v>170</v>
      </c>
      <c r="D58" s="99">
        <f>'4.1 Comptes 2023 natures'!BF118</f>
        <v>263706.11</v>
      </c>
    </row>
    <row r="59" spans="1:4" x14ac:dyDescent="0.2">
      <c r="A59" s="98">
        <v>364</v>
      </c>
      <c r="B59" s="102" t="s">
        <v>221</v>
      </c>
      <c r="C59" s="98" t="s">
        <v>230</v>
      </c>
      <c r="D59" s="99">
        <f>'4.1 Comptes 2023 natures'!BF49</f>
        <v>0</v>
      </c>
    </row>
    <row r="60" spans="1:4" x14ac:dyDescent="0.2">
      <c r="A60" s="98">
        <v>365</v>
      </c>
      <c r="B60" s="102" t="s">
        <v>221</v>
      </c>
      <c r="C60" s="98" t="s">
        <v>231</v>
      </c>
      <c r="D60" s="99">
        <f>'4.1 Comptes 2023 natures'!BF50</f>
        <v>0</v>
      </c>
    </row>
    <row r="61" spans="1:4" x14ac:dyDescent="0.2">
      <c r="A61" s="98">
        <v>366</v>
      </c>
      <c r="B61" s="102" t="s">
        <v>221</v>
      </c>
      <c r="C61" s="98" t="s">
        <v>228</v>
      </c>
      <c r="D61" s="99">
        <f>'4.1 Comptes 2023 natures'!BF51</f>
        <v>0</v>
      </c>
    </row>
    <row r="62" spans="1:4" x14ac:dyDescent="0.2">
      <c r="A62" s="98">
        <v>389</v>
      </c>
      <c r="B62" s="102" t="s">
        <v>221</v>
      </c>
      <c r="C62" s="98" t="s">
        <v>224</v>
      </c>
      <c r="D62" s="99">
        <f>'4.1 Comptes 2023 natures'!BF63</f>
        <v>5208774.6899999995</v>
      </c>
    </row>
    <row r="63" spans="1:4" x14ac:dyDescent="0.2">
      <c r="A63" s="98">
        <v>4490</v>
      </c>
      <c r="B63" s="102" t="s">
        <v>222</v>
      </c>
      <c r="C63" s="98" t="s">
        <v>232</v>
      </c>
      <c r="D63" s="99">
        <f>'4.1 Comptes 2023 natures'!BF165</f>
        <v>6951.87</v>
      </c>
    </row>
    <row r="64" spans="1:4" x14ac:dyDescent="0.2">
      <c r="A64" s="98">
        <v>489</v>
      </c>
      <c r="B64" s="102" t="s">
        <v>222</v>
      </c>
      <c r="C64" s="98" t="s">
        <v>229</v>
      </c>
      <c r="D64" s="99">
        <f>'4.1 Comptes 2023 natures'!BF139</f>
        <v>0</v>
      </c>
    </row>
    <row r="65" spans="1:4" x14ac:dyDescent="0.2">
      <c r="A65" s="98"/>
      <c r="B65" s="102"/>
      <c r="C65" s="98"/>
      <c r="D65" s="99"/>
    </row>
    <row r="66" spans="1:4" ht="15" x14ac:dyDescent="0.25">
      <c r="A66" s="103"/>
      <c r="B66" s="103"/>
      <c r="C66" s="100" t="s">
        <v>225</v>
      </c>
      <c r="D66" s="101">
        <f>D55+D56+D57-D58+D59+D60+D61+D62-D63-D64</f>
        <v>14624048.180000002</v>
      </c>
    </row>
    <row r="67" spans="1:4" x14ac:dyDescent="0.2">
      <c r="A67" s="98"/>
      <c r="B67" s="98"/>
      <c r="C67" s="98"/>
      <c r="D67" s="99"/>
    </row>
    <row r="68" spans="1:4" x14ac:dyDescent="0.2">
      <c r="A68" s="98" t="s">
        <v>220</v>
      </c>
      <c r="B68" s="104" t="s">
        <v>222</v>
      </c>
      <c r="C68" s="98" t="s">
        <v>226</v>
      </c>
      <c r="D68" s="99">
        <f>'6.1 Investissements'!BF183</f>
        <v>5832735.7800000003</v>
      </c>
    </row>
    <row r="69" spans="1:4" x14ac:dyDescent="0.2">
      <c r="A69" s="98"/>
      <c r="B69" s="98"/>
      <c r="C69" s="98"/>
      <c r="D69" s="99"/>
    </row>
    <row r="70" spans="1:4" ht="15" x14ac:dyDescent="0.25">
      <c r="A70" s="103"/>
      <c r="B70" s="103"/>
      <c r="C70" s="100" t="s">
        <v>227</v>
      </c>
      <c r="D70" s="101">
        <f>D66-D68</f>
        <v>8791312.4000000022</v>
      </c>
    </row>
    <row r="73" spans="1:4" ht="15" x14ac:dyDescent="0.25">
      <c r="A73" s="7" t="s">
        <v>209</v>
      </c>
    </row>
    <row r="74" spans="1:4" ht="15" x14ac:dyDescent="0.25">
      <c r="A74" s="7" t="s">
        <v>858</v>
      </c>
    </row>
    <row r="76" spans="1:4" ht="15" x14ac:dyDescent="0.25">
      <c r="A76" s="96" t="s">
        <v>219</v>
      </c>
      <c r="B76" s="96"/>
      <c r="C76" s="96" t="s">
        <v>197</v>
      </c>
      <c r="D76" s="96" t="s">
        <v>198</v>
      </c>
    </row>
    <row r="77" spans="1:4" x14ac:dyDescent="0.2">
      <c r="A77" s="98">
        <v>90</v>
      </c>
      <c r="B77" s="102"/>
      <c r="C77" s="98" t="s">
        <v>191</v>
      </c>
      <c r="D77" s="99">
        <f>'4.1 Comptes 2023 natures'!BG154</f>
        <v>596954.35</v>
      </c>
    </row>
    <row r="78" spans="1:4" x14ac:dyDescent="0.2">
      <c r="A78" s="98">
        <v>33</v>
      </c>
      <c r="B78" s="102" t="s">
        <v>221</v>
      </c>
      <c r="C78" s="98" t="s">
        <v>94</v>
      </c>
      <c r="D78" s="99">
        <f>'4.1 Comptes 2023 natures'!BG28</f>
        <v>8587344.0299999993</v>
      </c>
    </row>
    <row r="79" spans="1:4" x14ac:dyDescent="0.2">
      <c r="A79" s="98">
        <v>35</v>
      </c>
      <c r="B79" s="102" t="s">
        <v>221</v>
      </c>
      <c r="C79" s="98" t="s">
        <v>223</v>
      </c>
      <c r="D79" s="99">
        <f>'4.1 Comptes 2023 natures'!BG40</f>
        <v>2292744.2399999998</v>
      </c>
    </row>
    <row r="80" spans="1:4" x14ac:dyDescent="0.2">
      <c r="A80" s="98">
        <v>45</v>
      </c>
      <c r="B80" s="102" t="s">
        <v>222</v>
      </c>
      <c r="C80" s="98" t="s">
        <v>170</v>
      </c>
      <c r="D80" s="99">
        <f>'4.1 Comptes 2023 natures'!BG118</f>
        <v>988651.35999999987</v>
      </c>
    </row>
    <row r="81" spans="1:4" x14ac:dyDescent="0.2">
      <c r="A81" s="98">
        <v>364</v>
      </c>
      <c r="B81" s="102" t="s">
        <v>221</v>
      </c>
      <c r="C81" s="98" t="s">
        <v>230</v>
      </c>
      <c r="D81" s="99">
        <f>'4.1 Comptes 2023 natures'!BG49</f>
        <v>0</v>
      </c>
    </row>
    <row r="82" spans="1:4" x14ac:dyDescent="0.2">
      <c r="A82" s="98">
        <v>365</v>
      </c>
      <c r="B82" s="102" t="s">
        <v>221</v>
      </c>
      <c r="C82" s="98" t="s">
        <v>231</v>
      </c>
      <c r="D82" s="99">
        <f>'4.1 Comptes 2023 natures'!BG50</f>
        <v>13000</v>
      </c>
    </row>
    <row r="83" spans="1:4" x14ac:dyDescent="0.2">
      <c r="A83" s="98">
        <v>366</v>
      </c>
      <c r="B83" s="102" t="s">
        <v>221</v>
      </c>
      <c r="C83" s="98" t="s">
        <v>228</v>
      </c>
      <c r="D83" s="99">
        <f>'4.1 Comptes 2023 natures'!BG51</f>
        <v>6909.4</v>
      </c>
    </row>
    <row r="84" spans="1:4" x14ac:dyDescent="0.2">
      <c r="A84" s="98">
        <v>389</v>
      </c>
      <c r="B84" s="102" t="s">
        <v>221</v>
      </c>
      <c r="C84" s="98" t="s">
        <v>224</v>
      </c>
      <c r="D84" s="99">
        <f>'4.1 Comptes 2023 natures'!BG63</f>
        <v>4574938.08</v>
      </c>
    </row>
    <row r="85" spans="1:4" x14ac:dyDescent="0.2">
      <c r="A85" s="98">
        <v>4490</v>
      </c>
      <c r="B85" s="102" t="s">
        <v>222</v>
      </c>
      <c r="C85" s="98" t="s">
        <v>232</v>
      </c>
      <c r="D85" s="99">
        <f>'4.1 Comptes 2023 natures'!BG165</f>
        <v>0</v>
      </c>
    </row>
    <row r="86" spans="1:4" x14ac:dyDescent="0.2">
      <c r="A86" s="98">
        <v>489</v>
      </c>
      <c r="B86" s="102" t="s">
        <v>222</v>
      </c>
      <c r="C86" s="98" t="s">
        <v>229</v>
      </c>
      <c r="D86" s="99">
        <f>'4.1 Comptes 2023 natures'!BG139</f>
        <v>6571.4</v>
      </c>
    </row>
    <row r="87" spans="1:4" x14ac:dyDescent="0.2">
      <c r="A87" s="98"/>
      <c r="B87" s="102"/>
      <c r="C87" s="98"/>
      <c r="D87" s="99"/>
    </row>
    <row r="88" spans="1:4" ht="15" x14ac:dyDescent="0.25">
      <c r="A88" s="103"/>
      <c r="B88" s="103"/>
      <c r="C88" s="100" t="s">
        <v>225</v>
      </c>
      <c r="D88" s="101">
        <f>D77+D78+D79-D80+D81+D82+D83+D84-D85-D86</f>
        <v>15076667.34</v>
      </c>
    </row>
    <row r="89" spans="1:4" x14ac:dyDescent="0.2">
      <c r="A89" s="98"/>
      <c r="B89" s="98"/>
      <c r="C89" s="98"/>
      <c r="D89" s="99"/>
    </row>
    <row r="90" spans="1:4" x14ac:dyDescent="0.2">
      <c r="A90" s="98" t="s">
        <v>220</v>
      </c>
      <c r="B90" s="104" t="s">
        <v>222</v>
      </c>
      <c r="C90" s="98" t="s">
        <v>226</v>
      </c>
      <c r="D90" s="99">
        <f>'6.1 Investissements'!BG183</f>
        <v>13078155.090000002</v>
      </c>
    </row>
    <row r="91" spans="1:4" x14ac:dyDescent="0.2">
      <c r="A91" s="98"/>
      <c r="B91" s="98"/>
      <c r="C91" s="98"/>
      <c r="D91" s="99"/>
    </row>
    <row r="92" spans="1:4" ht="15" x14ac:dyDescent="0.25">
      <c r="A92" s="103"/>
      <c r="B92" s="103"/>
      <c r="C92" s="100" t="s">
        <v>227</v>
      </c>
      <c r="D92" s="101">
        <f>D88-D90</f>
        <v>1998512.2499999981</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2" t="s">
        <v>859</v>
      </c>
    </row>
    <row r="5" spans="1:5" ht="15" thickBot="1" x14ac:dyDescent="0.25">
      <c r="B5" s="222" t="s">
        <v>581</v>
      </c>
      <c r="C5" s="222"/>
      <c r="D5" s="222"/>
    </row>
    <row r="6" spans="1:5" ht="15.75" thickBot="1" x14ac:dyDescent="0.3">
      <c r="B6" s="219" t="s">
        <v>23</v>
      </c>
      <c r="C6" s="220"/>
      <c r="D6" s="221"/>
    </row>
    <row r="8" spans="1:5" ht="15" x14ac:dyDescent="0.25">
      <c r="B8" s="96" t="s">
        <v>219</v>
      </c>
      <c r="C8" s="96"/>
      <c r="D8" s="96" t="s">
        <v>197</v>
      </c>
      <c r="E8" s="96" t="s">
        <v>198</v>
      </c>
    </row>
    <row r="9" spans="1:5" x14ac:dyDescent="0.2">
      <c r="B9" s="98">
        <v>90</v>
      </c>
      <c r="C9" s="102"/>
      <c r="D9" s="98" t="s">
        <v>191</v>
      </c>
      <c r="E9" s="99">
        <f>HLOOKUP($B$6,'4.1 Comptes 2023 natures'!$E$4:$BC$174,151,0)</f>
        <v>277298.86000000004</v>
      </c>
    </row>
    <row r="10" spans="1:5" x14ac:dyDescent="0.2">
      <c r="B10" s="98">
        <v>33</v>
      </c>
      <c r="C10" s="102" t="s">
        <v>221</v>
      </c>
      <c r="D10" s="98" t="s">
        <v>94</v>
      </c>
      <c r="E10" s="99">
        <f>HLOOKUP($B$6,'4.1 Comptes 2023 natures'!$E$4:$BC$174,25,0)</f>
        <v>70603.75</v>
      </c>
    </row>
    <row r="11" spans="1:5" x14ac:dyDescent="0.2">
      <c r="B11" s="98">
        <v>35</v>
      </c>
      <c r="C11" s="102" t="s">
        <v>221</v>
      </c>
      <c r="D11" s="98" t="s">
        <v>223</v>
      </c>
      <c r="E11" s="99">
        <f>HLOOKUP($B$6,'4.1 Comptes 2023 natures'!$E$4:$BC$174,37,0)</f>
        <v>25295.75</v>
      </c>
    </row>
    <row r="12" spans="1:5" x14ac:dyDescent="0.2">
      <c r="B12" s="98">
        <v>45</v>
      </c>
      <c r="C12" s="102" t="s">
        <v>222</v>
      </c>
      <c r="D12" s="98" t="s">
        <v>170</v>
      </c>
      <c r="E12" s="99">
        <f>HLOOKUP($B$6,'4.1 Comptes 2023 natures'!$E$4:$BC$174,115,0)</f>
        <v>897.75</v>
      </c>
    </row>
    <row r="13" spans="1:5" x14ac:dyDescent="0.2">
      <c r="B13" s="98">
        <v>364</v>
      </c>
      <c r="C13" s="102" t="s">
        <v>221</v>
      </c>
      <c r="D13" s="98" t="s">
        <v>230</v>
      </c>
      <c r="E13" s="99">
        <f>HLOOKUP($B$6,'4.1 Comptes 2023 natures'!$E$4:$BC$174,46,0)</f>
        <v>0</v>
      </c>
    </row>
    <row r="14" spans="1:5" x14ac:dyDescent="0.2">
      <c r="B14" s="98">
        <v>365</v>
      </c>
      <c r="C14" s="102" t="s">
        <v>221</v>
      </c>
      <c r="D14" s="98" t="s">
        <v>231</v>
      </c>
      <c r="E14" s="99">
        <f>HLOOKUP($B$6,'4.1 Comptes 2023 natures'!$E$4:$BC$174,47,0)</f>
        <v>0</v>
      </c>
    </row>
    <row r="15" spans="1:5" x14ac:dyDescent="0.2">
      <c r="B15" s="98">
        <v>366</v>
      </c>
      <c r="C15" s="102" t="s">
        <v>221</v>
      </c>
      <c r="D15" s="98" t="s">
        <v>228</v>
      </c>
      <c r="E15" s="99">
        <f>HLOOKUP($B$6,'4.1 Comptes 2023 natures'!$E$4:$BC$174,48,0)</f>
        <v>338</v>
      </c>
    </row>
    <row r="16" spans="1:5" x14ac:dyDescent="0.2">
      <c r="B16" s="98">
        <v>389</v>
      </c>
      <c r="C16" s="102" t="s">
        <v>221</v>
      </c>
      <c r="D16" s="98" t="s">
        <v>224</v>
      </c>
      <c r="E16" s="99">
        <f>HLOOKUP($B$6,'4.1 Comptes 2023 natures'!$E$4:$BC$174,60,0)</f>
        <v>300000</v>
      </c>
    </row>
    <row r="17" spans="2:5" x14ac:dyDescent="0.2">
      <c r="B17" s="98">
        <v>4490</v>
      </c>
      <c r="C17" s="102" t="s">
        <v>222</v>
      </c>
      <c r="D17" s="98" t="s">
        <v>232</v>
      </c>
      <c r="E17" s="99">
        <f>HLOOKUP($B$6,'4.1 Comptes 2023 natures'!$E$4:$BC$174,162,0)</f>
        <v>0</v>
      </c>
    </row>
    <row r="18" spans="2:5" x14ac:dyDescent="0.2">
      <c r="B18" s="98">
        <v>489</v>
      </c>
      <c r="C18" s="102" t="s">
        <v>222</v>
      </c>
      <c r="D18" s="98" t="s">
        <v>229</v>
      </c>
      <c r="E18" s="99">
        <f>HLOOKUP($B$6,'4.1 Comptes 2023 natures'!$E$4:$BC$174,136,0)</f>
        <v>0</v>
      </c>
    </row>
    <row r="19" spans="2:5" x14ac:dyDescent="0.2">
      <c r="B19" s="98"/>
      <c r="C19" s="102"/>
      <c r="D19" s="98"/>
      <c r="E19" s="99"/>
    </row>
    <row r="20" spans="2:5" ht="15" x14ac:dyDescent="0.25">
      <c r="B20" s="103"/>
      <c r="C20" s="103"/>
      <c r="D20" s="100" t="s">
        <v>225</v>
      </c>
      <c r="E20" s="101">
        <f>E9+E10+E11-E12+E13+E14+E15+E16-E17-E18</f>
        <v>672638.6100000001</v>
      </c>
    </row>
    <row r="21" spans="2:5" x14ac:dyDescent="0.2">
      <c r="B21" s="98"/>
      <c r="C21" s="98"/>
      <c r="D21" s="98"/>
      <c r="E21" s="99"/>
    </row>
    <row r="22" spans="2:5" x14ac:dyDescent="0.2">
      <c r="B22" s="98" t="s">
        <v>220</v>
      </c>
      <c r="C22" s="104" t="s">
        <v>222</v>
      </c>
      <c r="D22" s="98" t="s">
        <v>226</v>
      </c>
      <c r="E22" s="105">
        <f>HLOOKUP($B$6,'6.1 Investissements'!$E$4:$BG$183,180,0)</f>
        <v>307820.15000000002</v>
      </c>
    </row>
    <row r="23" spans="2:5" x14ac:dyDescent="0.2">
      <c r="B23" s="98"/>
      <c r="C23" s="98"/>
      <c r="D23" s="98"/>
      <c r="E23" s="99"/>
    </row>
    <row r="24" spans="2:5" ht="15" x14ac:dyDescent="0.25">
      <c r="B24" s="103"/>
      <c r="C24" s="103"/>
      <c r="D24" s="100" t="s">
        <v>227</v>
      </c>
      <c r="E24" s="101">
        <f>E20-E22</f>
        <v>364818.46000000008</v>
      </c>
    </row>
  </sheetData>
  <mergeCells count="2">
    <mergeCell ref="B6:D6"/>
    <mergeCell ref="B5:D5"/>
  </mergeCells>
  <pageMargins left="0.7" right="0.7" top="0.75" bottom="0.75" header="0.3" footer="0.3"/>
  <pageSetup paperSize="9" scale="7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E53"/>
  <sheetViews>
    <sheetView workbookViewId="0">
      <pane xSplit="2" ySplit="4" topLeftCell="C24"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71" style="8" customWidth="1"/>
    <col min="3" max="54" width="16.28515625" style="8" customWidth="1"/>
    <col min="55" max="57" width="17.85546875" style="8" customWidth="1"/>
    <col min="58" max="16384" width="11.42578125" style="8"/>
  </cols>
  <sheetData>
    <row r="2" spans="1:57" ht="20.25" x14ac:dyDescent="0.3">
      <c r="A2" s="192" t="s">
        <v>860</v>
      </c>
      <c r="B2" s="7"/>
    </row>
    <row r="3" spans="1:57" x14ac:dyDescent="0.2">
      <c r="A3" s="8" t="s">
        <v>773</v>
      </c>
      <c r="C3" s="9">
        <f>'Base de données pop.'!C2</f>
        <v>961</v>
      </c>
      <c r="D3" s="9">
        <f>'Base de données pop.'!C3</f>
        <v>261</v>
      </c>
      <c r="E3" s="9">
        <f>'Base de données pop.'!C4</f>
        <v>494</v>
      </c>
      <c r="F3" s="9">
        <f>'Base de données pop.'!C5</f>
        <v>445</v>
      </c>
      <c r="G3" s="9">
        <f>'Base de données pop.'!C6</f>
        <v>3667</v>
      </c>
      <c r="H3" s="9">
        <f>'Base de données pop.'!C7</f>
        <v>3396</v>
      </c>
      <c r="I3" s="9">
        <f>'Base de données pop.'!C8</f>
        <v>2724</v>
      </c>
      <c r="J3" s="9">
        <f>'Base de données pop.'!C9</f>
        <v>12739</v>
      </c>
      <c r="K3" s="9">
        <f>'Base de données pop.'!C10</f>
        <v>1372</v>
      </c>
      <c r="L3" s="9">
        <f>'Base de données pop.'!C11</f>
        <v>117</v>
      </c>
      <c r="M3" s="9">
        <f>'Base de données pop.'!C12</f>
        <v>7362</v>
      </c>
      <c r="N3" s="9">
        <f>'Base de données pop.'!C13</f>
        <v>535</v>
      </c>
      <c r="O3" s="9">
        <f>'Base de données pop.'!C14</f>
        <v>112</v>
      </c>
      <c r="P3" s="9">
        <f>'Base de données pop.'!C15</f>
        <v>420</v>
      </c>
      <c r="Q3" s="9">
        <f>'Base de données pop.'!C16</f>
        <v>349</v>
      </c>
      <c r="R3" s="9">
        <f>'Base de données pop.'!C17</f>
        <v>733</v>
      </c>
      <c r="S3" s="9">
        <f>'Base de données pop.'!C18</f>
        <v>273</v>
      </c>
      <c r="T3" s="9">
        <f>'Base de données pop.'!C19</f>
        <v>431</v>
      </c>
      <c r="U3" s="9">
        <f>'Base de données pop.'!C20</f>
        <v>3269</v>
      </c>
      <c r="V3" s="9">
        <f>'Base de données pop.'!C21</f>
        <v>305</v>
      </c>
      <c r="W3" s="9">
        <f>'Base de données pop.'!C22</f>
        <v>1252</v>
      </c>
      <c r="X3" s="9">
        <f>'Base de données pop.'!C23</f>
        <v>1642</v>
      </c>
      <c r="Y3" s="9">
        <f>'Base de données pop.'!C24</f>
        <v>149</v>
      </c>
      <c r="Z3" s="9">
        <f>'Base de données pop.'!C25</f>
        <v>510</v>
      </c>
      <c r="AA3" s="9">
        <f>'Base de données pop.'!C26</f>
        <v>710</v>
      </c>
      <c r="AB3" s="9">
        <f>'Base de données pop.'!C27</f>
        <v>566</v>
      </c>
      <c r="AC3" s="9">
        <f>'Base de données pop.'!C28</f>
        <v>508</v>
      </c>
      <c r="AD3" s="9">
        <f>'Base de données pop.'!C29</f>
        <v>1957</v>
      </c>
      <c r="AE3" s="9">
        <f>'Base de données pop.'!C30</f>
        <v>2568</v>
      </c>
      <c r="AF3" s="9">
        <f>'Base de données pop.'!C31</f>
        <v>239</v>
      </c>
      <c r="AG3" s="9">
        <f>'Base de données pop.'!C32</f>
        <v>125</v>
      </c>
      <c r="AH3" s="9">
        <f>'Base de données pop.'!C33</f>
        <v>1907</v>
      </c>
      <c r="AI3" s="9">
        <f>'Base de données pop.'!C34</f>
        <v>1134</v>
      </c>
      <c r="AJ3" s="9">
        <f>'Base de données pop.'!C35</f>
        <v>1203</v>
      </c>
      <c r="AK3" s="9">
        <f>'Base de données pop.'!C36</f>
        <v>112</v>
      </c>
      <c r="AL3" s="9">
        <f>'Base de données pop.'!C37</f>
        <v>1171</v>
      </c>
      <c r="AM3" s="9">
        <f>'Base de données pop.'!C38</f>
        <v>655</v>
      </c>
      <c r="AN3" s="9">
        <f>'Base de données pop.'!C39</f>
        <v>631</v>
      </c>
      <c r="AO3" s="9">
        <f>'Base de données pop.'!C40</f>
        <v>1294</v>
      </c>
      <c r="AP3" s="9">
        <f>'Base de données pop.'!C41</f>
        <v>721</v>
      </c>
      <c r="AQ3" s="9">
        <f>'Base de données pop.'!C42</f>
        <v>1060</v>
      </c>
      <c r="AR3" s="9">
        <f>'Base de données pop.'!C43</f>
        <v>314</v>
      </c>
      <c r="AS3" s="9">
        <f>'Base de données pop.'!C44</f>
        <v>2453</v>
      </c>
      <c r="AT3" s="9">
        <f>'Base de données pop.'!C45</f>
        <v>774</v>
      </c>
      <c r="AU3" s="9">
        <f>'Base de données pop.'!C46</f>
        <v>363</v>
      </c>
      <c r="AV3" s="9">
        <f>'Base de données pop.'!C47</f>
        <v>332</v>
      </c>
      <c r="AW3" s="9">
        <f>'Base de données pop.'!C48</f>
        <v>1647</v>
      </c>
      <c r="AX3" s="9">
        <f>'Base de données pop.'!C49</f>
        <v>381</v>
      </c>
      <c r="AY3" s="9">
        <f>'Base de données pop.'!C50</f>
        <v>1057</v>
      </c>
      <c r="AZ3" s="9">
        <f>'Base de données pop.'!C51</f>
        <v>6601</v>
      </c>
      <c r="BA3" s="9">
        <f>'Base de données pop.'!C52</f>
        <v>547</v>
      </c>
      <c r="BB3" s="9">
        <f>SUM(C3:BA3)</f>
        <v>74548</v>
      </c>
      <c r="BC3" s="9">
        <f>SUM(C3:U3)</f>
        <v>39660</v>
      </c>
      <c r="BD3" s="9">
        <f>SUM(V3:AG3)</f>
        <v>10531</v>
      </c>
      <c r="BE3" s="9">
        <f>SUM(AH3:BA3)</f>
        <v>24357</v>
      </c>
    </row>
    <row r="4" spans="1:57" x14ac:dyDescent="0.2">
      <c r="C4" s="90" t="s">
        <v>55</v>
      </c>
      <c r="D4" s="90" t="s">
        <v>17</v>
      </c>
      <c r="E4" s="90" t="s">
        <v>56</v>
      </c>
      <c r="F4" s="90" t="s">
        <v>52</v>
      </c>
      <c r="G4" s="90" t="s">
        <v>32</v>
      </c>
      <c r="H4" s="90" t="s">
        <v>10</v>
      </c>
      <c r="I4" s="90" t="s">
        <v>14</v>
      </c>
      <c r="J4" s="90" t="s">
        <v>27</v>
      </c>
      <c r="K4" s="90" t="s">
        <v>41</v>
      </c>
      <c r="L4" s="90" t="s">
        <v>22</v>
      </c>
      <c r="M4" s="90" t="s">
        <v>21</v>
      </c>
      <c r="N4" s="90" t="s">
        <v>12</v>
      </c>
      <c r="O4" s="90" t="s">
        <v>16</v>
      </c>
      <c r="P4" s="90" t="s">
        <v>42</v>
      </c>
      <c r="Q4" s="90" t="s">
        <v>39</v>
      </c>
      <c r="R4" s="90" t="s">
        <v>30</v>
      </c>
      <c r="S4" s="90" t="s">
        <v>11</v>
      </c>
      <c r="T4" s="90" t="s">
        <v>58</v>
      </c>
      <c r="U4" s="90" t="s">
        <v>26</v>
      </c>
      <c r="V4" s="90" t="s">
        <v>29</v>
      </c>
      <c r="W4" s="90" t="s">
        <v>19</v>
      </c>
      <c r="X4" s="90" t="s">
        <v>44</v>
      </c>
      <c r="Y4" s="90" t="s">
        <v>38</v>
      </c>
      <c r="Z4" s="90" t="s">
        <v>18</v>
      </c>
      <c r="AA4" s="90" t="s">
        <v>40</v>
      </c>
      <c r="AB4" s="90" t="s">
        <v>35</v>
      </c>
      <c r="AC4" s="90" t="s">
        <v>7</v>
      </c>
      <c r="AD4" s="90" t="s">
        <v>54</v>
      </c>
      <c r="AE4" s="90" t="s">
        <v>20</v>
      </c>
      <c r="AF4" s="90" t="s">
        <v>6</v>
      </c>
      <c r="AG4" s="90" t="s">
        <v>33</v>
      </c>
      <c r="AH4" s="90" t="s">
        <v>51</v>
      </c>
      <c r="AI4" s="90" t="s">
        <v>13</v>
      </c>
      <c r="AJ4" s="90" t="s">
        <v>31</v>
      </c>
      <c r="AK4" s="90" t="s">
        <v>28</v>
      </c>
      <c r="AL4" s="90" t="s">
        <v>25</v>
      </c>
      <c r="AM4" s="90" t="s">
        <v>47</v>
      </c>
      <c r="AN4" s="90" t="s">
        <v>43</v>
      </c>
      <c r="AO4" s="90" t="s">
        <v>36</v>
      </c>
      <c r="AP4" s="90" t="s">
        <v>50</v>
      </c>
      <c r="AQ4" s="90" t="s">
        <v>8</v>
      </c>
      <c r="AR4" s="90" t="s">
        <v>23</v>
      </c>
      <c r="AS4" s="90" t="s">
        <v>9</v>
      </c>
      <c r="AT4" s="90" t="s">
        <v>61</v>
      </c>
      <c r="AU4" s="90" t="s">
        <v>850</v>
      </c>
      <c r="AV4" s="90" t="s">
        <v>34</v>
      </c>
      <c r="AW4" s="90" t="s">
        <v>48</v>
      </c>
      <c r="AX4" s="90" t="s">
        <v>46</v>
      </c>
      <c r="AY4" s="90" t="s">
        <v>57</v>
      </c>
      <c r="AZ4" s="90" t="s">
        <v>15</v>
      </c>
      <c r="BA4" s="90" t="s">
        <v>24</v>
      </c>
      <c r="BB4" s="112" t="s">
        <v>64</v>
      </c>
      <c r="BC4" s="112" t="s">
        <v>27</v>
      </c>
      <c r="BD4" s="112" t="s">
        <v>63</v>
      </c>
      <c r="BE4" s="112" t="s">
        <v>15</v>
      </c>
    </row>
    <row r="5" spans="1:57" ht="16.5" customHeight="1" x14ac:dyDescent="0.25">
      <c r="A5" s="106">
        <v>0</v>
      </c>
      <c r="B5" s="85" t="s">
        <v>294</v>
      </c>
      <c r="C5" s="113">
        <f>C6-C7</f>
        <v>380092.83</v>
      </c>
      <c r="D5" s="113">
        <f t="shared" ref="D5:BA5" si="0">D6-D7</f>
        <v>87450.85</v>
      </c>
      <c r="E5" s="113">
        <f t="shared" si="0"/>
        <v>141371.85</v>
      </c>
      <c r="F5" s="113">
        <f t="shared" si="0"/>
        <v>246499.13</v>
      </c>
      <c r="G5" s="113">
        <f t="shared" si="0"/>
        <v>1270597</v>
      </c>
      <c r="H5" s="113">
        <f t="shared" si="0"/>
        <v>855214.81</v>
      </c>
      <c r="I5" s="113">
        <f t="shared" si="0"/>
        <v>848930.03</v>
      </c>
      <c r="J5" s="113">
        <f t="shared" si="0"/>
        <v>5999727.8899999997</v>
      </c>
      <c r="K5" s="113">
        <f t="shared" si="0"/>
        <v>448068.02</v>
      </c>
      <c r="L5" s="113">
        <f t="shared" si="0"/>
        <v>93623.56</v>
      </c>
      <c r="M5" s="113">
        <f t="shared" si="0"/>
        <v>2779561.2300000004</v>
      </c>
      <c r="N5" s="113">
        <f t="shared" si="0"/>
        <v>168681.81</v>
      </c>
      <c r="O5" s="113">
        <f t="shared" si="0"/>
        <v>81242.8</v>
      </c>
      <c r="P5" s="113">
        <f t="shared" si="0"/>
        <v>156192.62</v>
      </c>
      <c r="Q5" s="113">
        <f t="shared" si="0"/>
        <v>131098.33000000002</v>
      </c>
      <c r="R5" s="113">
        <f t="shared" si="0"/>
        <v>252586.39999999997</v>
      </c>
      <c r="S5" s="113">
        <f t="shared" si="0"/>
        <v>112999.93</v>
      </c>
      <c r="T5" s="113">
        <f t="shared" si="0"/>
        <v>226430.95</v>
      </c>
      <c r="U5" s="113">
        <f t="shared" si="0"/>
        <v>1012986.8700000001</v>
      </c>
      <c r="V5" s="113">
        <f t="shared" si="0"/>
        <v>139132.15</v>
      </c>
      <c r="W5" s="113">
        <f t="shared" si="0"/>
        <v>514610.80000000005</v>
      </c>
      <c r="X5" s="113">
        <f t="shared" si="0"/>
        <v>652754.98</v>
      </c>
      <c r="Y5" s="113">
        <f t="shared" si="0"/>
        <v>66327.3</v>
      </c>
      <c r="Z5" s="113">
        <f t="shared" si="0"/>
        <v>257184.94999999998</v>
      </c>
      <c r="AA5" s="113">
        <f t="shared" si="0"/>
        <v>310608.15000000002</v>
      </c>
      <c r="AB5" s="113">
        <f t="shared" si="0"/>
        <v>323195.99</v>
      </c>
      <c r="AC5" s="113">
        <f t="shared" si="0"/>
        <v>276565.40999999997</v>
      </c>
      <c r="AD5" s="113">
        <f t="shared" si="0"/>
        <v>665009.89</v>
      </c>
      <c r="AE5" s="113">
        <f t="shared" si="0"/>
        <v>679012.83</v>
      </c>
      <c r="AF5" s="113">
        <f t="shared" si="0"/>
        <v>100903.79</v>
      </c>
      <c r="AG5" s="113">
        <f t="shared" si="0"/>
        <v>76088.92</v>
      </c>
      <c r="AH5" s="113">
        <f t="shared" si="0"/>
        <v>762480</v>
      </c>
      <c r="AI5" s="113">
        <f t="shared" si="0"/>
        <v>413091.19</v>
      </c>
      <c r="AJ5" s="113">
        <f>AJ6-AJ7</f>
        <v>420697.89</v>
      </c>
      <c r="AK5" s="113">
        <f t="shared" si="0"/>
        <v>80276.850000000006</v>
      </c>
      <c r="AL5" s="113">
        <f t="shared" si="0"/>
        <v>681164.17</v>
      </c>
      <c r="AM5" s="113">
        <f t="shared" si="0"/>
        <v>297544.61</v>
      </c>
      <c r="AN5" s="113">
        <f t="shared" si="0"/>
        <v>364415.17000000004</v>
      </c>
      <c r="AO5" s="113">
        <f t="shared" si="0"/>
        <v>527875.52</v>
      </c>
      <c r="AP5" s="113">
        <f t="shared" si="0"/>
        <v>395358.49000000005</v>
      </c>
      <c r="AQ5" s="113">
        <f t="shared" si="0"/>
        <v>400539.12</v>
      </c>
      <c r="AR5" s="113">
        <f t="shared" si="0"/>
        <v>136979.26</v>
      </c>
      <c r="AS5" s="113">
        <f t="shared" si="0"/>
        <v>692651.43</v>
      </c>
      <c r="AT5" s="113">
        <f t="shared" si="0"/>
        <v>398634.56999999995</v>
      </c>
      <c r="AU5" s="113">
        <f t="shared" si="0"/>
        <v>252038.78999999998</v>
      </c>
      <c r="AV5" s="113">
        <f t="shared" si="0"/>
        <v>176910.4</v>
      </c>
      <c r="AW5" s="113">
        <f t="shared" si="0"/>
        <v>478250.12</v>
      </c>
      <c r="AX5" s="113">
        <f t="shared" si="0"/>
        <v>129590.54999999999</v>
      </c>
      <c r="AY5" s="113">
        <f t="shared" si="0"/>
        <v>500321.47</v>
      </c>
      <c r="AZ5" s="113">
        <f t="shared" si="0"/>
        <v>3166677.7699999996</v>
      </c>
      <c r="BA5" s="113">
        <f t="shared" si="0"/>
        <v>249781.49</v>
      </c>
      <c r="BB5" s="113">
        <f>SUM(C5:BA5)</f>
        <v>29880030.930000003</v>
      </c>
      <c r="BC5" s="113">
        <f>SUM(C5:U5)</f>
        <v>15293356.91</v>
      </c>
      <c r="BD5" s="113">
        <f>SUM(V5:AG5)</f>
        <v>4061395.1600000006</v>
      </c>
      <c r="BE5" s="113">
        <f>SUM(AH5:BA5)</f>
        <v>10525278.859999999</v>
      </c>
    </row>
    <row r="6" spans="1:57" ht="16.5" customHeight="1" x14ac:dyDescent="0.25">
      <c r="A6" s="108"/>
      <c r="B6" s="8" t="s">
        <v>304</v>
      </c>
      <c r="C6" s="19">
        <v>394932.9</v>
      </c>
      <c r="D6" s="19">
        <v>97394</v>
      </c>
      <c r="E6" s="19">
        <v>146730.65</v>
      </c>
      <c r="F6" s="19">
        <v>272890.43</v>
      </c>
      <c r="G6" s="19">
        <v>1336708.05</v>
      </c>
      <c r="H6" s="19">
        <v>988155.43</v>
      </c>
      <c r="I6" s="19">
        <v>886919.13</v>
      </c>
      <c r="J6" s="19">
        <v>6944703.46</v>
      </c>
      <c r="K6" s="19">
        <v>689356.53</v>
      </c>
      <c r="L6" s="19">
        <v>112781.06</v>
      </c>
      <c r="M6" s="19">
        <v>3324569.99</v>
      </c>
      <c r="N6" s="19">
        <v>205772.51</v>
      </c>
      <c r="O6" s="19">
        <v>84414.1</v>
      </c>
      <c r="P6" s="19">
        <v>168753.87</v>
      </c>
      <c r="Q6" s="19">
        <v>174080.25</v>
      </c>
      <c r="R6" s="19">
        <v>286164.71999999997</v>
      </c>
      <c r="S6" s="19">
        <v>136646.28</v>
      </c>
      <c r="T6" s="19">
        <v>254117.5</v>
      </c>
      <c r="U6" s="19">
        <v>1327149.1200000001</v>
      </c>
      <c r="V6" s="19">
        <v>143242.85</v>
      </c>
      <c r="W6" s="19">
        <v>525181.4</v>
      </c>
      <c r="X6" s="19">
        <v>719484.83</v>
      </c>
      <c r="Y6" s="19">
        <v>81669.25</v>
      </c>
      <c r="Z6" s="19">
        <v>273559.84999999998</v>
      </c>
      <c r="AA6" s="19">
        <v>352972.95</v>
      </c>
      <c r="AB6" s="19">
        <v>330693.94</v>
      </c>
      <c r="AC6" s="19">
        <v>317336.36</v>
      </c>
      <c r="AD6" s="19">
        <v>715266.86</v>
      </c>
      <c r="AE6" s="19">
        <v>787593.98</v>
      </c>
      <c r="AF6" s="19">
        <v>117807.79</v>
      </c>
      <c r="AG6" s="19">
        <v>83759.199999999997</v>
      </c>
      <c r="AH6" s="19">
        <v>828790.43</v>
      </c>
      <c r="AI6" s="19">
        <v>420139.86</v>
      </c>
      <c r="AJ6" s="19">
        <v>448985.08</v>
      </c>
      <c r="AK6" s="19">
        <v>98354.99</v>
      </c>
      <c r="AL6" s="19">
        <v>707770.99</v>
      </c>
      <c r="AM6" s="19">
        <v>344910.41</v>
      </c>
      <c r="AN6" s="19">
        <v>409779.02</v>
      </c>
      <c r="AO6" s="19">
        <v>587320.62</v>
      </c>
      <c r="AP6" s="19">
        <v>409863.34</v>
      </c>
      <c r="AQ6" s="19">
        <v>418107.77</v>
      </c>
      <c r="AR6" s="19">
        <v>166196.97</v>
      </c>
      <c r="AS6" s="19">
        <v>739581.43</v>
      </c>
      <c r="AT6" s="19">
        <v>427255.79</v>
      </c>
      <c r="AU6" s="19">
        <v>269089.78999999998</v>
      </c>
      <c r="AV6" s="19">
        <v>178000</v>
      </c>
      <c r="AW6" s="19">
        <v>519472.22</v>
      </c>
      <c r="AX6" s="19">
        <v>157160.65</v>
      </c>
      <c r="AY6" s="19">
        <v>615476.68999999994</v>
      </c>
      <c r="AZ6" s="19">
        <v>3611420.3</v>
      </c>
      <c r="BA6" s="19">
        <v>266097.69</v>
      </c>
      <c r="BB6" s="19">
        <f>SUM(C6:BA6)</f>
        <v>33904583.279999986</v>
      </c>
      <c r="BC6" s="19">
        <f>SUM(C6:U6)</f>
        <v>17832239.98</v>
      </c>
      <c r="BD6" s="19">
        <f>SUM(V6:AG6)</f>
        <v>4448569.26</v>
      </c>
      <c r="BE6" s="19">
        <f>SUM(AH6:BA6)</f>
        <v>11623774.039999997</v>
      </c>
    </row>
    <row r="7" spans="1:57" ht="16.5" customHeight="1" x14ac:dyDescent="0.25">
      <c r="A7" s="108"/>
      <c r="B7" s="8" t="s">
        <v>305</v>
      </c>
      <c r="C7" s="19">
        <v>14840.07</v>
      </c>
      <c r="D7" s="19">
        <v>9943.15</v>
      </c>
      <c r="E7" s="19">
        <v>5358.8</v>
      </c>
      <c r="F7" s="19">
        <v>26391.3</v>
      </c>
      <c r="G7" s="19">
        <v>66111.05</v>
      </c>
      <c r="H7" s="19">
        <v>132940.62</v>
      </c>
      <c r="I7" s="19">
        <v>37989.1</v>
      </c>
      <c r="J7" s="19">
        <v>944975.57</v>
      </c>
      <c r="K7" s="19">
        <v>241288.51</v>
      </c>
      <c r="L7" s="19">
        <v>19157.5</v>
      </c>
      <c r="M7" s="19">
        <v>545008.76</v>
      </c>
      <c r="N7" s="19">
        <v>37090.699999999997</v>
      </c>
      <c r="O7" s="19">
        <v>3171.3</v>
      </c>
      <c r="P7" s="19">
        <v>12561.25</v>
      </c>
      <c r="Q7" s="19">
        <v>42981.919999999998</v>
      </c>
      <c r="R7" s="19">
        <v>33578.32</v>
      </c>
      <c r="S7" s="19">
        <v>23646.35</v>
      </c>
      <c r="T7" s="19">
        <v>27686.55</v>
      </c>
      <c r="U7" s="19">
        <v>314162.25</v>
      </c>
      <c r="V7" s="19">
        <v>4110.7</v>
      </c>
      <c r="W7" s="19">
        <v>10570.6</v>
      </c>
      <c r="X7" s="19">
        <v>66729.850000000006</v>
      </c>
      <c r="Y7" s="19">
        <v>15341.95</v>
      </c>
      <c r="Z7" s="19">
        <v>16374.9</v>
      </c>
      <c r="AA7" s="19">
        <v>42364.800000000003</v>
      </c>
      <c r="AB7" s="19">
        <v>7497.95</v>
      </c>
      <c r="AC7" s="19">
        <v>40770.949999999997</v>
      </c>
      <c r="AD7" s="19">
        <v>50256.97</v>
      </c>
      <c r="AE7" s="19">
        <v>108581.15</v>
      </c>
      <c r="AF7" s="19">
        <v>16904</v>
      </c>
      <c r="AG7" s="19">
        <v>7670.28</v>
      </c>
      <c r="AH7" s="19">
        <v>66310.429999999993</v>
      </c>
      <c r="AI7" s="19">
        <v>7048.67</v>
      </c>
      <c r="AJ7" s="19">
        <v>28287.19</v>
      </c>
      <c r="AK7" s="19">
        <v>18078.14</v>
      </c>
      <c r="AL7" s="19">
        <v>26606.82</v>
      </c>
      <c r="AM7" s="19">
        <v>47365.8</v>
      </c>
      <c r="AN7" s="19">
        <v>45363.85</v>
      </c>
      <c r="AO7" s="19">
        <v>59445.1</v>
      </c>
      <c r="AP7" s="19">
        <v>14504.85</v>
      </c>
      <c r="AQ7" s="19">
        <v>17568.650000000001</v>
      </c>
      <c r="AR7" s="19">
        <v>29217.71</v>
      </c>
      <c r="AS7" s="19">
        <v>46930</v>
      </c>
      <c r="AT7" s="19">
        <v>28621.22</v>
      </c>
      <c r="AU7" s="19">
        <v>17051</v>
      </c>
      <c r="AV7" s="19">
        <v>1089.5999999999999</v>
      </c>
      <c r="AW7" s="19">
        <v>41222.1</v>
      </c>
      <c r="AX7" s="19">
        <v>27570.1</v>
      </c>
      <c r="AY7" s="19">
        <v>115155.22</v>
      </c>
      <c r="AZ7" s="19">
        <v>444742.53</v>
      </c>
      <c r="BA7" s="19">
        <v>16316.2</v>
      </c>
      <c r="BB7" s="19">
        <f>SUM(C7:BA7)</f>
        <v>4024552.3500000015</v>
      </c>
      <c r="BC7" s="19">
        <f>SUM(C7:U7)</f>
        <v>2538883.0699999998</v>
      </c>
      <c r="BD7" s="19">
        <f>SUM(V7:AG7)</f>
        <v>387174.10000000003</v>
      </c>
      <c r="BE7" s="19">
        <f>SUM(AH7:BA7)</f>
        <v>1098495.18</v>
      </c>
    </row>
    <row r="8" spans="1:57" ht="16.5" customHeight="1" x14ac:dyDescent="0.25">
      <c r="A8" s="30"/>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82"/>
      <c r="BC8" s="82"/>
      <c r="BD8" s="82"/>
      <c r="BE8" s="82"/>
    </row>
    <row r="9" spans="1:57" ht="16.5" customHeight="1" x14ac:dyDescent="0.25">
      <c r="A9" s="106" t="s">
        <v>295</v>
      </c>
      <c r="B9" s="85" t="s">
        <v>296</v>
      </c>
      <c r="C9" s="113">
        <f>C10-C11</f>
        <v>24918.490000000005</v>
      </c>
      <c r="D9" s="113">
        <f t="shared" ref="D9:BA9" si="1">D10-D11</f>
        <v>1048.7200000000012</v>
      </c>
      <c r="E9" s="113">
        <f t="shared" si="1"/>
        <v>12332.870000000003</v>
      </c>
      <c r="F9" s="113">
        <f t="shared" si="1"/>
        <v>-22673.759999999995</v>
      </c>
      <c r="G9" s="113">
        <f t="shared" si="1"/>
        <v>14058.570000000007</v>
      </c>
      <c r="H9" s="113">
        <f t="shared" si="1"/>
        <v>54179.75</v>
      </c>
      <c r="I9" s="113">
        <f t="shared" si="1"/>
        <v>-40559.320000000007</v>
      </c>
      <c r="J9" s="113">
        <f t="shared" si="1"/>
        <v>1982805.13</v>
      </c>
      <c r="K9" s="113">
        <f t="shared" si="1"/>
        <v>46140.999999999985</v>
      </c>
      <c r="L9" s="113">
        <f t="shared" si="1"/>
        <v>17061.560000000001</v>
      </c>
      <c r="M9" s="113">
        <f t="shared" si="1"/>
        <v>-20402.699999999953</v>
      </c>
      <c r="N9" s="113">
        <f t="shared" si="1"/>
        <v>7897.8399999999965</v>
      </c>
      <c r="O9" s="113">
        <f t="shared" si="1"/>
        <v>-568.07999999999993</v>
      </c>
      <c r="P9" s="113">
        <f t="shared" si="1"/>
        <v>7779.260000000002</v>
      </c>
      <c r="Q9" s="113">
        <f t="shared" si="1"/>
        <v>1119.1499999999978</v>
      </c>
      <c r="R9" s="113">
        <f t="shared" si="1"/>
        <v>1443.8499999999985</v>
      </c>
      <c r="S9" s="113">
        <f t="shared" si="1"/>
        <v>17639.919999999998</v>
      </c>
      <c r="T9" s="113">
        <f t="shared" si="1"/>
        <v>-7748.1999999999971</v>
      </c>
      <c r="U9" s="113">
        <f t="shared" si="1"/>
        <v>32643.660000000003</v>
      </c>
      <c r="V9" s="113">
        <f t="shared" si="1"/>
        <v>7537.3499999999985</v>
      </c>
      <c r="W9" s="113">
        <f t="shared" si="1"/>
        <v>42041.599999999991</v>
      </c>
      <c r="X9" s="113">
        <f t="shared" si="1"/>
        <v>45180.19</v>
      </c>
      <c r="Y9" s="113">
        <f t="shared" si="1"/>
        <v>4757.0500000000011</v>
      </c>
      <c r="Z9" s="113">
        <f t="shared" si="1"/>
        <v>23192.800000000003</v>
      </c>
      <c r="AA9" s="113">
        <f t="shared" si="1"/>
        <v>-2641.070000000007</v>
      </c>
      <c r="AB9" s="113">
        <f t="shared" si="1"/>
        <v>13640.400000000001</v>
      </c>
      <c r="AC9" s="113">
        <f t="shared" si="1"/>
        <v>500.29999999999563</v>
      </c>
      <c r="AD9" s="113">
        <f t="shared" si="1"/>
        <v>-19966.099999999977</v>
      </c>
      <c r="AE9" s="113">
        <f t="shared" si="1"/>
        <v>-4497.1000000000058</v>
      </c>
      <c r="AF9" s="113">
        <f t="shared" si="1"/>
        <v>-497.20000000000073</v>
      </c>
      <c r="AG9" s="113">
        <f t="shared" si="1"/>
        <v>-6525.2499999999982</v>
      </c>
      <c r="AH9" s="113">
        <f t="shared" si="1"/>
        <v>43003.949999999983</v>
      </c>
      <c r="AI9" s="113">
        <f t="shared" si="1"/>
        <v>-8071.2200000000012</v>
      </c>
      <c r="AJ9" s="113">
        <f t="shared" si="1"/>
        <v>-34432.599999999991</v>
      </c>
      <c r="AK9" s="113">
        <f t="shared" si="1"/>
        <v>6829.8399999999992</v>
      </c>
      <c r="AL9" s="113">
        <f t="shared" si="1"/>
        <v>7794</v>
      </c>
      <c r="AM9" s="113">
        <f t="shared" si="1"/>
        <v>-18057.199999999997</v>
      </c>
      <c r="AN9" s="113">
        <f t="shared" si="1"/>
        <v>-64282.600000000006</v>
      </c>
      <c r="AO9" s="113">
        <f t="shared" si="1"/>
        <v>-37227.099999999977</v>
      </c>
      <c r="AP9" s="113">
        <f t="shared" si="1"/>
        <v>-5634.0500000000029</v>
      </c>
      <c r="AQ9" s="113">
        <f t="shared" si="1"/>
        <v>58283.819999999992</v>
      </c>
      <c r="AR9" s="113">
        <f t="shared" si="1"/>
        <v>13030.55</v>
      </c>
      <c r="AS9" s="113">
        <f t="shared" si="1"/>
        <v>-27485.239999999991</v>
      </c>
      <c r="AT9" s="113">
        <f t="shared" si="1"/>
        <v>-19802.339999999997</v>
      </c>
      <c r="AU9" s="113">
        <f t="shared" si="1"/>
        <v>7398.2499999999964</v>
      </c>
      <c r="AV9" s="113">
        <f t="shared" si="1"/>
        <v>24998.61</v>
      </c>
      <c r="AW9" s="113">
        <f t="shared" si="1"/>
        <v>-11608.809999999998</v>
      </c>
      <c r="AX9" s="113">
        <f t="shared" si="1"/>
        <v>-7922.18</v>
      </c>
      <c r="AY9" s="113">
        <f t="shared" si="1"/>
        <v>-26391.24000000002</v>
      </c>
      <c r="AZ9" s="113">
        <f t="shared" si="1"/>
        <v>970184.78</v>
      </c>
      <c r="BA9" s="113">
        <f t="shared" si="1"/>
        <v>-18062.149999999998</v>
      </c>
      <c r="BB9" s="113">
        <f>SUM(C9:BA9)</f>
        <v>3084387.7499999977</v>
      </c>
      <c r="BC9" s="113">
        <f>SUM(C9:U9)</f>
        <v>2129117.71</v>
      </c>
      <c r="BD9" s="113">
        <f>SUM(V9:AG9)</f>
        <v>102722.96999999999</v>
      </c>
      <c r="BE9" s="113">
        <f>SUM(AH9:BA9)</f>
        <v>852547.07</v>
      </c>
    </row>
    <row r="10" spans="1:57" ht="16.5" customHeight="1" x14ac:dyDescent="0.25">
      <c r="A10" s="108"/>
      <c r="B10" s="8" t="s">
        <v>304</v>
      </c>
      <c r="C10" s="19">
        <v>78104.600000000006</v>
      </c>
      <c r="D10" s="19">
        <v>20453.02</v>
      </c>
      <c r="E10" s="19">
        <v>34939.97</v>
      </c>
      <c r="F10" s="19">
        <v>76667.44</v>
      </c>
      <c r="G10" s="19">
        <v>333324</v>
      </c>
      <c r="H10" s="19">
        <v>318094.83</v>
      </c>
      <c r="I10" s="19">
        <v>214541.18</v>
      </c>
      <c r="J10" s="19">
        <v>4099957.17</v>
      </c>
      <c r="K10" s="19">
        <v>145964.29999999999</v>
      </c>
      <c r="L10" s="19">
        <v>19336.41</v>
      </c>
      <c r="M10" s="19">
        <v>677891.4</v>
      </c>
      <c r="N10" s="19">
        <v>54807.35</v>
      </c>
      <c r="O10" s="19">
        <v>6753.27</v>
      </c>
      <c r="P10" s="19">
        <v>29553.86</v>
      </c>
      <c r="Q10" s="19">
        <v>22143.55</v>
      </c>
      <c r="R10" s="19">
        <v>59775.1</v>
      </c>
      <c r="S10" s="19">
        <v>37865.269999999997</v>
      </c>
      <c r="T10" s="19">
        <v>33557.800000000003</v>
      </c>
      <c r="U10" s="19">
        <v>277866.31</v>
      </c>
      <c r="V10" s="19">
        <v>24554.5</v>
      </c>
      <c r="W10" s="19">
        <v>111166.9</v>
      </c>
      <c r="X10" s="19">
        <v>154999.94</v>
      </c>
      <c r="Y10" s="19">
        <v>14814.6</v>
      </c>
      <c r="Z10" s="19">
        <v>66139.3</v>
      </c>
      <c r="AA10" s="19">
        <v>76329.23</v>
      </c>
      <c r="AB10" s="19">
        <v>49254.85</v>
      </c>
      <c r="AC10" s="19">
        <v>38943.199999999997</v>
      </c>
      <c r="AD10" s="19">
        <v>172496.73</v>
      </c>
      <c r="AE10" s="19">
        <v>203704.4</v>
      </c>
      <c r="AF10" s="19">
        <v>14782.8</v>
      </c>
      <c r="AG10" s="19">
        <v>12016.35</v>
      </c>
      <c r="AH10" s="19">
        <v>146789.54999999999</v>
      </c>
      <c r="AI10" s="19">
        <v>117905.1</v>
      </c>
      <c r="AJ10" s="19">
        <v>125767.45</v>
      </c>
      <c r="AK10" s="19">
        <v>9855.39</v>
      </c>
      <c r="AL10" s="19">
        <v>94735.4</v>
      </c>
      <c r="AM10" s="19">
        <v>43299.3</v>
      </c>
      <c r="AN10" s="19">
        <v>48638</v>
      </c>
      <c r="AO10" s="19">
        <v>150191.70000000001</v>
      </c>
      <c r="AP10" s="19">
        <v>45414.1</v>
      </c>
      <c r="AQ10" s="19">
        <v>174030.62</v>
      </c>
      <c r="AR10" s="19">
        <v>23209.8</v>
      </c>
      <c r="AS10" s="19">
        <v>191012.41</v>
      </c>
      <c r="AT10" s="19">
        <v>46439.5</v>
      </c>
      <c r="AU10" s="19">
        <v>40126.449999999997</v>
      </c>
      <c r="AV10" s="19">
        <v>54866.68</v>
      </c>
      <c r="AW10" s="19">
        <v>115763.35</v>
      </c>
      <c r="AX10" s="19">
        <v>39501.599999999999</v>
      </c>
      <c r="AY10" s="19">
        <v>147318.10999999999</v>
      </c>
      <c r="AZ10" s="19">
        <v>2408160.67</v>
      </c>
      <c r="BA10" s="19">
        <v>31113.200000000001</v>
      </c>
      <c r="BB10" s="19">
        <f>SUM(C10:BA10)</f>
        <v>11534938.009999996</v>
      </c>
      <c r="BC10" s="19">
        <f>SUM(C10:U10)</f>
        <v>6541596.8299999982</v>
      </c>
      <c r="BD10" s="19">
        <f>SUM(V10:AG10)</f>
        <v>939202.79999999993</v>
      </c>
      <c r="BE10" s="19">
        <f>SUM(AH10:BA10)</f>
        <v>4054138.3800000004</v>
      </c>
    </row>
    <row r="11" spans="1:57" ht="16.5" customHeight="1" x14ac:dyDescent="0.25">
      <c r="A11" s="108"/>
      <c r="B11" s="8" t="s">
        <v>305</v>
      </c>
      <c r="C11" s="19">
        <v>53186.11</v>
      </c>
      <c r="D11" s="19">
        <v>19404.3</v>
      </c>
      <c r="E11" s="19">
        <v>22607.1</v>
      </c>
      <c r="F11" s="19">
        <v>99341.2</v>
      </c>
      <c r="G11" s="19">
        <v>319265.43</v>
      </c>
      <c r="H11" s="19">
        <v>263915.08</v>
      </c>
      <c r="I11" s="19">
        <v>255100.5</v>
      </c>
      <c r="J11" s="19">
        <v>2117152.04</v>
      </c>
      <c r="K11" s="19">
        <v>99823.3</v>
      </c>
      <c r="L11" s="19">
        <v>2274.85</v>
      </c>
      <c r="M11" s="19">
        <v>698294.1</v>
      </c>
      <c r="N11" s="19">
        <v>46909.51</v>
      </c>
      <c r="O11" s="19">
        <v>7321.35</v>
      </c>
      <c r="P11" s="19">
        <v>21774.6</v>
      </c>
      <c r="Q11" s="19">
        <v>21024.400000000001</v>
      </c>
      <c r="R11" s="19">
        <v>58331.25</v>
      </c>
      <c r="S11" s="19">
        <v>20225.349999999999</v>
      </c>
      <c r="T11" s="19">
        <v>41306</v>
      </c>
      <c r="U11" s="19">
        <v>245222.65</v>
      </c>
      <c r="V11" s="19">
        <v>17017.150000000001</v>
      </c>
      <c r="W11" s="19">
        <v>69125.3</v>
      </c>
      <c r="X11" s="19">
        <v>109819.75</v>
      </c>
      <c r="Y11" s="19">
        <v>10057.549999999999</v>
      </c>
      <c r="Z11" s="19">
        <v>42946.5</v>
      </c>
      <c r="AA11" s="19">
        <v>78970.3</v>
      </c>
      <c r="AB11" s="19">
        <v>35614.449999999997</v>
      </c>
      <c r="AC11" s="19">
        <v>38442.9</v>
      </c>
      <c r="AD11" s="19">
        <v>192462.83</v>
      </c>
      <c r="AE11" s="19">
        <v>208201.5</v>
      </c>
      <c r="AF11" s="19">
        <v>15280</v>
      </c>
      <c r="AG11" s="19">
        <v>18541.599999999999</v>
      </c>
      <c r="AH11" s="19">
        <v>103785.60000000001</v>
      </c>
      <c r="AI11" s="19">
        <v>125976.32000000001</v>
      </c>
      <c r="AJ11" s="19">
        <v>160200.04999999999</v>
      </c>
      <c r="AK11" s="19">
        <v>3025.55</v>
      </c>
      <c r="AL11" s="19">
        <v>86941.4</v>
      </c>
      <c r="AM11" s="19">
        <v>61356.5</v>
      </c>
      <c r="AN11" s="19">
        <v>112920.6</v>
      </c>
      <c r="AO11" s="19">
        <v>187418.8</v>
      </c>
      <c r="AP11" s="19">
        <v>51048.15</v>
      </c>
      <c r="AQ11" s="19">
        <v>115746.8</v>
      </c>
      <c r="AR11" s="19">
        <v>10179.25</v>
      </c>
      <c r="AS11" s="19">
        <v>218497.65</v>
      </c>
      <c r="AT11" s="19">
        <v>66241.84</v>
      </c>
      <c r="AU11" s="19">
        <v>32728.2</v>
      </c>
      <c r="AV11" s="19">
        <v>29868.07</v>
      </c>
      <c r="AW11" s="19">
        <v>127372.16</v>
      </c>
      <c r="AX11" s="19">
        <v>47423.78</v>
      </c>
      <c r="AY11" s="19">
        <v>173709.35</v>
      </c>
      <c r="AZ11" s="19">
        <v>1437975.89</v>
      </c>
      <c r="BA11" s="19">
        <v>49175.35</v>
      </c>
      <c r="BB11" s="19">
        <f>SUM(C11:BA11)</f>
        <v>8450550.2599999998</v>
      </c>
      <c r="BC11" s="19">
        <f>SUM(C11:U11)</f>
        <v>4412479.12</v>
      </c>
      <c r="BD11" s="19">
        <f>SUM(V11:AG11)</f>
        <v>836479.83</v>
      </c>
      <c r="BE11" s="19">
        <f>SUM(AH11:BA11)</f>
        <v>3201591.31</v>
      </c>
    </row>
    <row r="12" spans="1:57" ht="16.5" customHeight="1" x14ac:dyDescent="0.25">
      <c r="A12" s="30"/>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82"/>
      <c r="BC12" s="82"/>
      <c r="BD12" s="82"/>
      <c r="BE12" s="82"/>
    </row>
    <row r="13" spans="1:57" ht="16.5" customHeight="1" x14ac:dyDescent="0.25">
      <c r="A13" s="109">
        <v>2</v>
      </c>
      <c r="B13" s="85" t="s">
        <v>297</v>
      </c>
      <c r="C13" s="113">
        <f>C14-C15</f>
        <v>1344980.25</v>
      </c>
      <c r="D13" s="113">
        <f t="shared" ref="D13:BA13" si="2">D14-D15</f>
        <v>332194.08999999997</v>
      </c>
      <c r="E13" s="113">
        <f t="shared" si="2"/>
        <v>664316.42999999993</v>
      </c>
      <c r="F13" s="113">
        <f t="shared" si="2"/>
        <v>591445.6399999999</v>
      </c>
      <c r="G13" s="113">
        <f t="shared" si="2"/>
        <v>5142388.83</v>
      </c>
      <c r="H13" s="113">
        <f t="shared" si="2"/>
        <v>4419220.6399999997</v>
      </c>
      <c r="I13" s="113">
        <f t="shared" si="2"/>
        <v>3564111.19</v>
      </c>
      <c r="J13" s="113">
        <f t="shared" si="2"/>
        <v>16896015.580000002</v>
      </c>
      <c r="K13" s="113">
        <f t="shared" si="2"/>
        <v>1852631.3099999998</v>
      </c>
      <c r="L13" s="113">
        <f t="shared" si="2"/>
        <v>135181.85999999999</v>
      </c>
      <c r="M13" s="113">
        <f t="shared" si="2"/>
        <v>9828768.7799999993</v>
      </c>
      <c r="N13" s="113">
        <f t="shared" si="2"/>
        <v>765734.63</v>
      </c>
      <c r="O13" s="113">
        <f t="shared" si="2"/>
        <v>138815.51</v>
      </c>
      <c r="P13" s="113">
        <f t="shared" si="2"/>
        <v>599251.27999999991</v>
      </c>
      <c r="Q13" s="113">
        <f t="shared" si="2"/>
        <v>504869.57</v>
      </c>
      <c r="R13" s="113">
        <f t="shared" si="2"/>
        <v>1185842.3299999998</v>
      </c>
      <c r="S13" s="113">
        <f t="shared" si="2"/>
        <v>329601.73000000004</v>
      </c>
      <c r="T13" s="113">
        <f t="shared" si="2"/>
        <v>571632.95000000007</v>
      </c>
      <c r="U13" s="113">
        <f t="shared" si="2"/>
        <v>4491598.12</v>
      </c>
      <c r="V13" s="113">
        <f t="shared" si="2"/>
        <v>364807.52999999997</v>
      </c>
      <c r="W13" s="113">
        <f t="shared" si="2"/>
        <v>1618825.42</v>
      </c>
      <c r="X13" s="113">
        <f t="shared" si="2"/>
        <v>2219534.8699999996</v>
      </c>
      <c r="Y13" s="113">
        <f t="shared" si="2"/>
        <v>202086</v>
      </c>
      <c r="Z13" s="113">
        <f t="shared" si="2"/>
        <v>657192.07999999996</v>
      </c>
      <c r="AA13" s="113">
        <f t="shared" si="2"/>
        <v>919317.89999999991</v>
      </c>
      <c r="AB13" s="113">
        <f t="shared" si="2"/>
        <v>704877.33000000007</v>
      </c>
      <c r="AC13" s="113">
        <f t="shared" si="2"/>
        <v>697477.7300000001</v>
      </c>
      <c r="AD13" s="113">
        <f t="shared" si="2"/>
        <v>2698523.32</v>
      </c>
      <c r="AE13" s="113">
        <f t="shared" si="2"/>
        <v>3245960.26</v>
      </c>
      <c r="AF13" s="113">
        <f t="shared" si="2"/>
        <v>289537.24</v>
      </c>
      <c r="AG13" s="113">
        <f t="shared" si="2"/>
        <v>133745.5</v>
      </c>
      <c r="AH13" s="113">
        <f t="shared" si="2"/>
        <v>2427683.56</v>
      </c>
      <c r="AI13" s="113">
        <f t="shared" si="2"/>
        <v>1480167.15</v>
      </c>
      <c r="AJ13" s="113">
        <f t="shared" si="2"/>
        <v>1685699.8599999999</v>
      </c>
      <c r="AK13" s="113">
        <f t="shared" si="2"/>
        <v>133093.45000000001</v>
      </c>
      <c r="AL13" s="113">
        <f t="shared" si="2"/>
        <v>3066559.46</v>
      </c>
      <c r="AM13" s="113">
        <f t="shared" si="2"/>
        <v>827006.55</v>
      </c>
      <c r="AN13" s="113">
        <f t="shared" si="2"/>
        <v>897683.89999999991</v>
      </c>
      <c r="AO13" s="113">
        <f t="shared" si="2"/>
        <v>1660332.9</v>
      </c>
      <c r="AP13" s="113">
        <f t="shared" si="2"/>
        <v>1009703.55</v>
      </c>
      <c r="AQ13" s="113">
        <f t="shared" si="2"/>
        <v>1398760.0899999999</v>
      </c>
      <c r="AR13" s="113">
        <f t="shared" si="2"/>
        <v>363264.22</v>
      </c>
      <c r="AS13" s="113">
        <f t="shared" si="2"/>
        <v>3197815.54</v>
      </c>
      <c r="AT13" s="113">
        <f t="shared" si="2"/>
        <v>1072398.18</v>
      </c>
      <c r="AU13" s="113">
        <f t="shared" si="2"/>
        <v>463319.52</v>
      </c>
      <c r="AV13" s="113">
        <f t="shared" si="2"/>
        <v>430273.56999999995</v>
      </c>
      <c r="AW13" s="113">
        <f t="shared" si="2"/>
        <v>2431768.85</v>
      </c>
      <c r="AX13" s="113">
        <f t="shared" si="2"/>
        <v>535244.80000000005</v>
      </c>
      <c r="AY13" s="113">
        <f t="shared" si="2"/>
        <v>1378840.77</v>
      </c>
      <c r="AZ13" s="113">
        <f t="shared" si="2"/>
        <v>7884776.7899999991</v>
      </c>
      <c r="BA13" s="113">
        <f t="shared" si="2"/>
        <v>655659.08000000007</v>
      </c>
      <c r="BB13" s="113">
        <f>SUM(C13:BA13)</f>
        <v>100110537.68999998</v>
      </c>
      <c r="BC13" s="113">
        <f>SUM(C13:U13)</f>
        <v>53358600.719999999</v>
      </c>
      <c r="BD13" s="113">
        <f>SUM(V13:AG13)</f>
        <v>13751885.18</v>
      </c>
      <c r="BE13" s="113">
        <f>SUM(AH13:BA13)</f>
        <v>33000051.790000007</v>
      </c>
    </row>
    <row r="14" spans="1:57" ht="16.5" customHeight="1" x14ac:dyDescent="0.25">
      <c r="A14" s="30"/>
      <c r="B14" s="8" t="s">
        <v>304</v>
      </c>
      <c r="C14" s="19">
        <v>1379981.55</v>
      </c>
      <c r="D14" s="19">
        <v>339241.54</v>
      </c>
      <c r="E14" s="19">
        <v>671414.48</v>
      </c>
      <c r="F14" s="19">
        <v>600133.56999999995</v>
      </c>
      <c r="G14" s="19">
        <v>5572771.04</v>
      </c>
      <c r="H14" s="19">
        <v>4626975.05</v>
      </c>
      <c r="I14" s="19">
        <v>3594143.54</v>
      </c>
      <c r="J14" s="19">
        <v>18096754.280000001</v>
      </c>
      <c r="K14" s="19">
        <v>1909320.66</v>
      </c>
      <c r="L14" s="19">
        <v>135316.85999999999</v>
      </c>
      <c r="M14" s="19">
        <v>10297464.68</v>
      </c>
      <c r="N14" s="19">
        <v>800278.08</v>
      </c>
      <c r="O14" s="19">
        <v>139115.51</v>
      </c>
      <c r="P14" s="19">
        <v>606040.07999999996</v>
      </c>
      <c r="Q14" s="19">
        <v>549277.62</v>
      </c>
      <c r="R14" s="19">
        <v>1244998.1399999999</v>
      </c>
      <c r="S14" s="19">
        <v>347903.28</v>
      </c>
      <c r="T14" s="19">
        <v>785469.3</v>
      </c>
      <c r="U14" s="19">
        <v>4899018.07</v>
      </c>
      <c r="V14" s="19">
        <v>417699.73</v>
      </c>
      <c r="W14" s="19">
        <v>1698112.42</v>
      </c>
      <c r="X14" s="19">
        <v>2686341.07</v>
      </c>
      <c r="Y14" s="19">
        <v>202221</v>
      </c>
      <c r="Z14" s="19">
        <v>731778.83</v>
      </c>
      <c r="AA14" s="19">
        <v>1118946.96</v>
      </c>
      <c r="AB14" s="19">
        <v>854364.63</v>
      </c>
      <c r="AC14" s="19">
        <v>702723.06</v>
      </c>
      <c r="AD14" s="19">
        <v>2832174.3</v>
      </c>
      <c r="AE14" s="19">
        <v>3424839.63</v>
      </c>
      <c r="AF14" s="19">
        <v>329437.03999999998</v>
      </c>
      <c r="AG14" s="19">
        <v>133809.5</v>
      </c>
      <c r="AH14" s="19">
        <v>2472127.56</v>
      </c>
      <c r="AI14" s="19">
        <v>1562973.65</v>
      </c>
      <c r="AJ14" s="19">
        <v>1977184.46</v>
      </c>
      <c r="AK14" s="19">
        <v>133160.45000000001</v>
      </c>
      <c r="AL14" s="19">
        <v>3083126.52</v>
      </c>
      <c r="AM14" s="19">
        <v>924460.25</v>
      </c>
      <c r="AN14" s="19">
        <v>927667.7</v>
      </c>
      <c r="AO14" s="19">
        <v>1975968.5</v>
      </c>
      <c r="AP14" s="19">
        <v>1101210.8500000001</v>
      </c>
      <c r="AQ14" s="19">
        <v>1442831.65</v>
      </c>
      <c r="AR14" s="19">
        <v>378675.22</v>
      </c>
      <c r="AS14" s="19">
        <v>3324149.84</v>
      </c>
      <c r="AT14" s="19">
        <v>1126823.98</v>
      </c>
      <c r="AU14" s="19">
        <v>463903.52</v>
      </c>
      <c r="AV14" s="19">
        <v>438489.97</v>
      </c>
      <c r="AW14" s="19">
        <v>2540088.65</v>
      </c>
      <c r="AX14" s="19">
        <v>734539.4</v>
      </c>
      <c r="AY14" s="19">
        <v>1430374.61</v>
      </c>
      <c r="AZ14" s="19">
        <v>8432353.2899999991</v>
      </c>
      <c r="BA14" s="19">
        <v>763128.53</v>
      </c>
      <c r="BB14" s="19">
        <f>SUM(C14:BA14)</f>
        <v>106961304.09999999</v>
      </c>
      <c r="BC14" s="19">
        <f>SUM(C14:U14)</f>
        <v>56595617.329999983</v>
      </c>
      <c r="BD14" s="19">
        <f>SUM(V14:AG14)</f>
        <v>15132448.169999998</v>
      </c>
      <c r="BE14" s="19">
        <f>SUM(AH14:BA14)</f>
        <v>35233238.599999994</v>
      </c>
    </row>
    <row r="15" spans="1:57" ht="16.5" customHeight="1" x14ac:dyDescent="0.25">
      <c r="A15" s="30"/>
      <c r="B15" s="8" t="s">
        <v>305</v>
      </c>
      <c r="C15" s="19">
        <v>35001.300000000003</v>
      </c>
      <c r="D15" s="19">
        <v>7047.45</v>
      </c>
      <c r="E15" s="19">
        <v>7098.05</v>
      </c>
      <c r="F15" s="19">
        <v>8687.93</v>
      </c>
      <c r="G15" s="19">
        <v>430382.21</v>
      </c>
      <c r="H15" s="19">
        <v>207754.41</v>
      </c>
      <c r="I15" s="19">
        <v>30032.35</v>
      </c>
      <c r="J15" s="19">
        <v>1200738.7</v>
      </c>
      <c r="K15" s="19">
        <v>56689.35</v>
      </c>
      <c r="L15" s="19">
        <v>135</v>
      </c>
      <c r="M15" s="19">
        <v>468695.9</v>
      </c>
      <c r="N15" s="19">
        <v>34543.449999999997</v>
      </c>
      <c r="O15" s="19">
        <v>300</v>
      </c>
      <c r="P15" s="19">
        <v>6788.8</v>
      </c>
      <c r="Q15" s="19">
        <v>44408.05</v>
      </c>
      <c r="R15" s="19">
        <v>59155.81</v>
      </c>
      <c r="S15" s="19">
        <v>18301.55</v>
      </c>
      <c r="T15" s="19">
        <v>213836.35</v>
      </c>
      <c r="U15" s="19">
        <v>407419.95</v>
      </c>
      <c r="V15" s="19">
        <v>52892.2</v>
      </c>
      <c r="W15" s="19">
        <v>79287</v>
      </c>
      <c r="X15" s="19">
        <v>466806.2</v>
      </c>
      <c r="Y15" s="19">
        <v>135</v>
      </c>
      <c r="Z15" s="19">
        <v>74586.75</v>
      </c>
      <c r="AA15" s="19">
        <v>199629.06</v>
      </c>
      <c r="AB15" s="19">
        <v>149487.29999999999</v>
      </c>
      <c r="AC15" s="19">
        <v>5245.33</v>
      </c>
      <c r="AD15" s="19">
        <v>133650.98000000001</v>
      </c>
      <c r="AE15" s="19">
        <v>178879.37</v>
      </c>
      <c r="AF15" s="19">
        <v>39899.800000000003</v>
      </c>
      <c r="AG15" s="19">
        <v>64</v>
      </c>
      <c r="AH15" s="19">
        <v>44444</v>
      </c>
      <c r="AI15" s="19">
        <v>82806.5</v>
      </c>
      <c r="AJ15" s="19">
        <v>291484.59999999998</v>
      </c>
      <c r="AK15" s="19">
        <v>67</v>
      </c>
      <c r="AL15" s="19">
        <v>16567.060000000001</v>
      </c>
      <c r="AM15" s="19">
        <v>97453.7</v>
      </c>
      <c r="AN15" s="19">
        <v>29983.8</v>
      </c>
      <c r="AO15" s="19">
        <v>315635.59999999998</v>
      </c>
      <c r="AP15" s="19">
        <v>91507.3</v>
      </c>
      <c r="AQ15" s="19">
        <v>44071.56</v>
      </c>
      <c r="AR15" s="19">
        <v>15411</v>
      </c>
      <c r="AS15" s="19">
        <v>126334.3</v>
      </c>
      <c r="AT15" s="19">
        <v>54425.8</v>
      </c>
      <c r="AU15" s="19">
        <v>584</v>
      </c>
      <c r="AV15" s="19">
        <v>8216.4</v>
      </c>
      <c r="AW15" s="19">
        <v>108319.8</v>
      </c>
      <c r="AX15" s="19">
        <v>199294.6</v>
      </c>
      <c r="AY15" s="19">
        <v>51533.84</v>
      </c>
      <c r="AZ15" s="19">
        <v>547576.5</v>
      </c>
      <c r="BA15" s="19">
        <v>107469.45</v>
      </c>
      <c r="BB15" s="19">
        <f>SUM(C15:BA15)</f>
        <v>6850766.4099999983</v>
      </c>
      <c r="BC15" s="19">
        <f>SUM(C15:U15)</f>
        <v>3237016.61</v>
      </c>
      <c r="BD15" s="19">
        <f>SUM(V15:AG15)</f>
        <v>1380562.99</v>
      </c>
      <c r="BE15" s="19">
        <f>SUM(AH15:BA15)</f>
        <v>2233186.8100000005</v>
      </c>
    </row>
    <row r="16" spans="1:57" ht="16.5" customHeight="1" x14ac:dyDescent="0.25">
      <c r="A16" s="30"/>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82"/>
      <c r="BC16" s="82"/>
      <c r="BD16" s="82"/>
      <c r="BE16" s="82"/>
    </row>
    <row r="17" spans="1:57" ht="16.5" customHeight="1" x14ac:dyDescent="0.25">
      <c r="A17" s="109">
        <v>3</v>
      </c>
      <c r="B17" s="85" t="s">
        <v>298</v>
      </c>
      <c r="C17" s="113">
        <f>C18-C19</f>
        <v>31200.65</v>
      </c>
      <c r="D17" s="113">
        <f t="shared" ref="D17:BA17" si="3">D18-D19</f>
        <v>10185.75</v>
      </c>
      <c r="E17" s="113">
        <f t="shared" si="3"/>
        <v>6849.5</v>
      </c>
      <c r="F17" s="113">
        <f t="shared" si="3"/>
        <v>8989.5</v>
      </c>
      <c r="G17" s="113">
        <f t="shared" si="3"/>
        <v>123774.62</v>
      </c>
      <c r="H17" s="113">
        <f t="shared" si="3"/>
        <v>270451.06</v>
      </c>
      <c r="I17" s="113">
        <f t="shared" si="3"/>
        <v>262376.31</v>
      </c>
      <c r="J17" s="113">
        <f t="shared" si="3"/>
        <v>5101717.6399999997</v>
      </c>
      <c r="K17" s="113">
        <f t="shared" si="3"/>
        <v>73479.289999999994</v>
      </c>
      <c r="L17" s="113">
        <f t="shared" si="3"/>
        <v>0</v>
      </c>
      <c r="M17" s="113">
        <f t="shared" si="3"/>
        <v>662026.31999999995</v>
      </c>
      <c r="N17" s="113">
        <f t="shared" si="3"/>
        <v>17160.8</v>
      </c>
      <c r="O17" s="113">
        <f t="shared" si="3"/>
        <v>1480.8000000000002</v>
      </c>
      <c r="P17" s="113">
        <f t="shared" si="3"/>
        <v>7778.5</v>
      </c>
      <c r="Q17" s="113">
        <f t="shared" si="3"/>
        <v>42658.35</v>
      </c>
      <c r="R17" s="113">
        <f t="shared" si="3"/>
        <v>22937.75</v>
      </c>
      <c r="S17" s="113">
        <f t="shared" si="3"/>
        <v>27423.39</v>
      </c>
      <c r="T17" s="113">
        <f t="shared" si="3"/>
        <v>27241.690000000002</v>
      </c>
      <c r="U17" s="113">
        <f t="shared" si="3"/>
        <v>90492.15</v>
      </c>
      <c r="V17" s="113">
        <f t="shared" si="3"/>
        <v>42595.040000000001</v>
      </c>
      <c r="W17" s="113">
        <f t="shared" si="3"/>
        <v>419759.6</v>
      </c>
      <c r="X17" s="113">
        <f t="shared" si="3"/>
        <v>474650.86</v>
      </c>
      <c r="Y17" s="113">
        <f t="shared" si="3"/>
        <v>19278.849999999999</v>
      </c>
      <c r="Z17" s="113">
        <f t="shared" si="3"/>
        <v>107576.9</v>
      </c>
      <c r="AA17" s="113">
        <f t="shared" si="3"/>
        <v>139454.87</v>
      </c>
      <c r="AB17" s="113">
        <f t="shared" si="3"/>
        <v>63370.3</v>
      </c>
      <c r="AC17" s="113">
        <f t="shared" si="3"/>
        <v>75933.179999999993</v>
      </c>
      <c r="AD17" s="113">
        <f t="shared" si="3"/>
        <v>313129.32999999996</v>
      </c>
      <c r="AE17" s="113">
        <f t="shared" si="3"/>
        <v>799332.8</v>
      </c>
      <c r="AF17" s="113">
        <f t="shared" si="3"/>
        <v>20735.55</v>
      </c>
      <c r="AG17" s="113">
        <f t="shared" si="3"/>
        <v>8477.15</v>
      </c>
      <c r="AH17" s="113">
        <f t="shared" si="3"/>
        <v>233794.65</v>
      </c>
      <c r="AI17" s="113">
        <f t="shared" si="3"/>
        <v>76338.8</v>
      </c>
      <c r="AJ17" s="113">
        <f t="shared" si="3"/>
        <v>105641.56</v>
      </c>
      <c r="AK17" s="113">
        <f t="shared" si="3"/>
        <v>12296.47</v>
      </c>
      <c r="AL17" s="113">
        <f t="shared" si="3"/>
        <v>804895.74</v>
      </c>
      <c r="AM17" s="113">
        <f t="shared" si="3"/>
        <v>72007.95</v>
      </c>
      <c r="AN17" s="113">
        <f t="shared" si="3"/>
        <v>38956.300000000003</v>
      </c>
      <c r="AO17" s="113">
        <f t="shared" si="3"/>
        <v>92204.35</v>
      </c>
      <c r="AP17" s="113">
        <f t="shared" si="3"/>
        <v>61365.799999999996</v>
      </c>
      <c r="AQ17" s="113">
        <f t="shared" si="3"/>
        <v>52019.819999999992</v>
      </c>
      <c r="AR17" s="113">
        <f t="shared" si="3"/>
        <v>20251.400000000001</v>
      </c>
      <c r="AS17" s="113">
        <f t="shared" si="3"/>
        <v>459596.82</v>
      </c>
      <c r="AT17" s="113">
        <f t="shared" si="3"/>
        <v>70603.7</v>
      </c>
      <c r="AU17" s="113">
        <f t="shared" si="3"/>
        <v>22246.3</v>
      </c>
      <c r="AV17" s="113">
        <f t="shared" si="3"/>
        <v>145581.65</v>
      </c>
      <c r="AW17" s="113">
        <f t="shared" si="3"/>
        <v>147276</v>
      </c>
      <c r="AX17" s="113">
        <f t="shared" si="3"/>
        <v>30451.18</v>
      </c>
      <c r="AY17" s="113">
        <f t="shared" si="3"/>
        <v>70751.899999999994</v>
      </c>
      <c r="AZ17" s="113">
        <f t="shared" si="3"/>
        <v>3272475.96</v>
      </c>
      <c r="BA17" s="113">
        <f t="shared" si="3"/>
        <v>121448.35</v>
      </c>
      <c r="BB17" s="113">
        <f>SUM(C17:BA17)</f>
        <v>15182723.200000005</v>
      </c>
      <c r="BC17" s="113">
        <f>SUM(C17:U17)</f>
        <v>6788224.0699999994</v>
      </c>
      <c r="BD17" s="113">
        <f>SUM(V17:AG17)</f>
        <v>2484294.4300000002</v>
      </c>
      <c r="BE17" s="113">
        <f>SUM(AH17:BA17)</f>
        <v>5910204.6999999993</v>
      </c>
    </row>
    <row r="18" spans="1:57" ht="16.5" customHeight="1" x14ac:dyDescent="0.25">
      <c r="A18" s="30"/>
      <c r="B18" s="8" t="s">
        <v>304</v>
      </c>
      <c r="C18" s="19">
        <v>34200.65</v>
      </c>
      <c r="D18" s="19">
        <v>14155.75</v>
      </c>
      <c r="E18" s="19">
        <v>6849.5</v>
      </c>
      <c r="F18" s="19">
        <v>8989.5</v>
      </c>
      <c r="G18" s="19">
        <v>139774.62</v>
      </c>
      <c r="H18" s="19">
        <v>312013.81</v>
      </c>
      <c r="I18" s="19">
        <v>317038.26</v>
      </c>
      <c r="J18" s="19">
        <v>6227078.4199999999</v>
      </c>
      <c r="K18" s="19">
        <v>95183.09</v>
      </c>
      <c r="L18" s="19">
        <v>0</v>
      </c>
      <c r="M18" s="19">
        <v>846257.95</v>
      </c>
      <c r="N18" s="19">
        <v>17160.8</v>
      </c>
      <c r="O18" s="19">
        <v>7139.8</v>
      </c>
      <c r="P18" s="19">
        <v>8425.6</v>
      </c>
      <c r="Q18" s="19">
        <v>43693.35</v>
      </c>
      <c r="R18" s="19">
        <v>22937.75</v>
      </c>
      <c r="S18" s="19">
        <v>27423.39</v>
      </c>
      <c r="T18" s="19">
        <v>50221.19</v>
      </c>
      <c r="U18" s="19">
        <v>97217.15</v>
      </c>
      <c r="V18" s="19">
        <v>42595.040000000001</v>
      </c>
      <c r="W18" s="19">
        <v>431333.55</v>
      </c>
      <c r="X18" s="19">
        <v>503476.16</v>
      </c>
      <c r="Y18" s="19">
        <v>19278.849999999999</v>
      </c>
      <c r="Z18" s="19">
        <v>126643.8</v>
      </c>
      <c r="AA18" s="19">
        <v>170580.53</v>
      </c>
      <c r="AB18" s="19">
        <v>63370.3</v>
      </c>
      <c r="AC18" s="19">
        <v>76933.179999999993</v>
      </c>
      <c r="AD18" s="19">
        <v>326213.48</v>
      </c>
      <c r="AE18" s="19">
        <v>799632.8</v>
      </c>
      <c r="AF18" s="19">
        <v>20735.55</v>
      </c>
      <c r="AG18" s="19">
        <v>8477.15</v>
      </c>
      <c r="AH18" s="19">
        <v>233794.65</v>
      </c>
      <c r="AI18" s="19">
        <v>78888.800000000003</v>
      </c>
      <c r="AJ18" s="19">
        <v>114211.56</v>
      </c>
      <c r="AK18" s="19">
        <v>13246.47</v>
      </c>
      <c r="AL18" s="19">
        <v>851421.87</v>
      </c>
      <c r="AM18" s="19">
        <v>75914.95</v>
      </c>
      <c r="AN18" s="19">
        <v>52473.3</v>
      </c>
      <c r="AO18" s="19">
        <v>103404.35</v>
      </c>
      <c r="AP18" s="19">
        <v>76477.149999999994</v>
      </c>
      <c r="AQ18" s="19">
        <v>73458.2</v>
      </c>
      <c r="AR18" s="19">
        <v>20589.400000000001</v>
      </c>
      <c r="AS18" s="19">
        <v>503231.17</v>
      </c>
      <c r="AT18" s="19">
        <v>74876.7</v>
      </c>
      <c r="AU18" s="19">
        <v>24638.3</v>
      </c>
      <c r="AV18" s="19">
        <v>156588.65</v>
      </c>
      <c r="AW18" s="19">
        <v>169963</v>
      </c>
      <c r="AX18" s="19">
        <v>30770.18</v>
      </c>
      <c r="AY18" s="19">
        <v>94475.05</v>
      </c>
      <c r="AZ18" s="19">
        <v>3439248.25</v>
      </c>
      <c r="BA18" s="19">
        <v>135707.45000000001</v>
      </c>
      <c r="BB18" s="19">
        <f>SUM(C18:BA18)</f>
        <v>17188410.420000006</v>
      </c>
      <c r="BC18" s="19">
        <f>SUM(C18:U18)</f>
        <v>8275760.5799999991</v>
      </c>
      <c r="BD18" s="19">
        <f>SUM(V18:AG18)</f>
        <v>2589270.3899999997</v>
      </c>
      <c r="BE18" s="19">
        <f>SUM(AH18:BA18)</f>
        <v>6323379.4500000002</v>
      </c>
    </row>
    <row r="19" spans="1:57" ht="16.5" customHeight="1" x14ac:dyDescent="0.25">
      <c r="A19" s="30"/>
      <c r="B19" s="8" t="s">
        <v>305</v>
      </c>
      <c r="C19" s="19">
        <v>3000</v>
      </c>
      <c r="D19" s="19">
        <v>3970</v>
      </c>
      <c r="E19" s="19">
        <v>0</v>
      </c>
      <c r="F19" s="19">
        <v>0</v>
      </c>
      <c r="G19" s="19">
        <v>16000</v>
      </c>
      <c r="H19" s="19">
        <v>41562.75</v>
      </c>
      <c r="I19" s="19">
        <v>54661.95</v>
      </c>
      <c r="J19" s="19">
        <v>1125360.78</v>
      </c>
      <c r="K19" s="19">
        <v>21703.8</v>
      </c>
      <c r="L19" s="19">
        <v>0</v>
      </c>
      <c r="M19" s="19">
        <v>184231.63</v>
      </c>
      <c r="N19" s="19">
        <v>0</v>
      </c>
      <c r="O19" s="19">
        <v>5659</v>
      </c>
      <c r="P19" s="19">
        <v>647.1</v>
      </c>
      <c r="Q19" s="19">
        <v>1035</v>
      </c>
      <c r="R19" s="19">
        <v>0</v>
      </c>
      <c r="S19" s="19">
        <v>0</v>
      </c>
      <c r="T19" s="19">
        <v>22979.5</v>
      </c>
      <c r="U19" s="19">
        <v>6725</v>
      </c>
      <c r="V19" s="19">
        <v>0</v>
      </c>
      <c r="W19" s="19">
        <v>11573.95</v>
      </c>
      <c r="X19" s="19">
        <v>28825.3</v>
      </c>
      <c r="Y19" s="19">
        <v>0</v>
      </c>
      <c r="Z19" s="19">
        <v>19066.900000000001</v>
      </c>
      <c r="AA19" s="19">
        <v>31125.66</v>
      </c>
      <c r="AB19" s="19">
        <v>0</v>
      </c>
      <c r="AC19" s="19">
        <v>1000</v>
      </c>
      <c r="AD19" s="19">
        <v>13084.15</v>
      </c>
      <c r="AE19" s="19">
        <v>300</v>
      </c>
      <c r="AF19" s="19">
        <v>0</v>
      </c>
      <c r="AG19" s="19">
        <v>0</v>
      </c>
      <c r="AH19" s="19">
        <v>0</v>
      </c>
      <c r="AI19" s="19">
        <v>2550</v>
      </c>
      <c r="AJ19" s="19">
        <v>8570</v>
      </c>
      <c r="AK19" s="19">
        <v>950</v>
      </c>
      <c r="AL19" s="19">
        <v>46526.13</v>
      </c>
      <c r="AM19" s="19">
        <v>3907</v>
      </c>
      <c r="AN19" s="19">
        <v>13517</v>
      </c>
      <c r="AO19" s="19">
        <v>11200</v>
      </c>
      <c r="AP19" s="19">
        <v>15111.35</v>
      </c>
      <c r="AQ19" s="19">
        <v>21438.38</v>
      </c>
      <c r="AR19" s="19">
        <v>338</v>
      </c>
      <c r="AS19" s="19">
        <v>43634.35</v>
      </c>
      <c r="AT19" s="19">
        <v>4273</v>
      </c>
      <c r="AU19" s="19">
        <v>2392</v>
      </c>
      <c r="AV19" s="19">
        <v>11007</v>
      </c>
      <c r="AW19" s="19">
        <v>22687</v>
      </c>
      <c r="AX19" s="19">
        <v>319</v>
      </c>
      <c r="AY19" s="19">
        <v>23723.15</v>
      </c>
      <c r="AZ19" s="19">
        <v>166772.29</v>
      </c>
      <c r="BA19" s="19">
        <v>14259.1</v>
      </c>
      <c r="BB19" s="19">
        <f>SUM(C19:BA19)</f>
        <v>2005687.22</v>
      </c>
      <c r="BC19" s="19">
        <f>SUM(C19:U19)</f>
        <v>1487536.5100000002</v>
      </c>
      <c r="BD19" s="19">
        <f>SUM(V19:AG19)</f>
        <v>104975.95999999999</v>
      </c>
      <c r="BE19" s="19">
        <f>SUM(AH19:BA19)</f>
        <v>413174.75</v>
      </c>
    </row>
    <row r="20" spans="1:57" ht="16.5" customHeight="1" x14ac:dyDescent="0.25">
      <c r="A20" s="30"/>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82"/>
      <c r="BC20" s="82"/>
      <c r="BD20" s="82"/>
      <c r="BE20" s="82"/>
    </row>
    <row r="21" spans="1:57" ht="16.5" customHeight="1" x14ac:dyDescent="0.25">
      <c r="A21" s="109">
        <v>4</v>
      </c>
      <c r="B21" s="85" t="s">
        <v>299</v>
      </c>
      <c r="C21" s="113">
        <f>C22-C23</f>
        <v>4669.01</v>
      </c>
      <c r="D21" s="113">
        <f t="shared" ref="D21:BA21" si="4">D22-D23</f>
        <v>3007.8</v>
      </c>
      <c r="E21" s="113">
        <f t="shared" si="4"/>
        <v>4111.66</v>
      </c>
      <c r="F21" s="113">
        <f t="shared" si="4"/>
        <v>1959.16</v>
      </c>
      <c r="G21" s="113">
        <f t="shared" si="4"/>
        <v>35983.71</v>
      </c>
      <c r="H21" s="113">
        <f t="shared" si="4"/>
        <v>27959.45</v>
      </c>
      <c r="I21" s="113">
        <f t="shared" si="4"/>
        <v>29787.17</v>
      </c>
      <c r="J21" s="113">
        <f t="shared" si="4"/>
        <v>107358.1</v>
      </c>
      <c r="K21" s="113">
        <f t="shared" si="4"/>
        <v>9737.0499999999993</v>
      </c>
      <c r="L21" s="113">
        <f t="shared" si="4"/>
        <v>1210.0899999999999</v>
      </c>
      <c r="M21" s="113">
        <f t="shared" si="4"/>
        <v>69359.75</v>
      </c>
      <c r="N21" s="113">
        <f t="shared" si="4"/>
        <v>3560.77</v>
      </c>
      <c r="O21" s="113">
        <f t="shared" si="4"/>
        <v>1213.29</v>
      </c>
      <c r="P21" s="113">
        <f t="shared" si="4"/>
        <v>2787.03</v>
      </c>
      <c r="Q21" s="113">
        <f t="shared" si="4"/>
        <v>3900.99</v>
      </c>
      <c r="R21" s="113">
        <f t="shared" si="4"/>
        <v>9312.85</v>
      </c>
      <c r="S21" s="113">
        <f t="shared" si="4"/>
        <v>2267.85</v>
      </c>
      <c r="T21" s="113">
        <f t="shared" si="4"/>
        <v>2504.15</v>
      </c>
      <c r="U21" s="113">
        <f t="shared" si="4"/>
        <v>32867</v>
      </c>
      <c r="V21" s="113">
        <f t="shared" si="4"/>
        <v>1447.7</v>
      </c>
      <c r="W21" s="113">
        <f t="shared" si="4"/>
        <v>6902.22</v>
      </c>
      <c r="X21" s="113">
        <f t="shared" si="4"/>
        <v>12105.75</v>
      </c>
      <c r="Y21" s="113">
        <f t="shared" si="4"/>
        <v>1664.5</v>
      </c>
      <c r="Z21" s="113">
        <f t="shared" si="4"/>
        <v>4161.97</v>
      </c>
      <c r="AA21" s="113">
        <f t="shared" si="4"/>
        <v>3866.99</v>
      </c>
      <c r="AB21" s="113">
        <f t="shared" si="4"/>
        <v>2751.67</v>
      </c>
      <c r="AC21" s="113">
        <f t="shared" si="4"/>
        <v>8627.09</v>
      </c>
      <c r="AD21" s="113">
        <f t="shared" si="4"/>
        <v>16755.64</v>
      </c>
      <c r="AE21" s="113">
        <f t="shared" si="4"/>
        <v>12838.4</v>
      </c>
      <c r="AF21" s="113">
        <f t="shared" si="4"/>
        <v>1636.55</v>
      </c>
      <c r="AG21" s="113">
        <f t="shared" si="4"/>
        <v>524.20000000000005</v>
      </c>
      <c r="AH21" s="113">
        <f t="shared" si="4"/>
        <v>19181.419999999998</v>
      </c>
      <c r="AI21" s="113">
        <f t="shared" si="4"/>
        <v>9681.15</v>
      </c>
      <c r="AJ21" s="113">
        <f t="shared" si="4"/>
        <v>15101.23</v>
      </c>
      <c r="AK21" s="113">
        <f t="shared" si="4"/>
        <v>2170.3000000000002</v>
      </c>
      <c r="AL21" s="113">
        <f t="shared" si="4"/>
        <v>7662.54</v>
      </c>
      <c r="AM21" s="113">
        <f t="shared" si="4"/>
        <v>6061.6</v>
      </c>
      <c r="AN21" s="113">
        <f t="shared" si="4"/>
        <v>4483.55</v>
      </c>
      <c r="AO21" s="113">
        <f t="shared" si="4"/>
        <v>8371.4</v>
      </c>
      <c r="AP21" s="113">
        <f t="shared" si="4"/>
        <v>5463.7</v>
      </c>
      <c r="AQ21" s="113">
        <f t="shared" si="4"/>
        <v>11581.1</v>
      </c>
      <c r="AR21" s="113">
        <f t="shared" si="4"/>
        <v>1515.82</v>
      </c>
      <c r="AS21" s="113">
        <f t="shared" si="4"/>
        <v>24337.9</v>
      </c>
      <c r="AT21" s="113">
        <f t="shared" si="4"/>
        <v>6319.29</v>
      </c>
      <c r="AU21" s="113">
        <f t="shared" si="4"/>
        <v>2758.14</v>
      </c>
      <c r="AV21" s="113">
        <f t="shared" si="4"/>
        <v>2248.7199999999998</v>
      </c>
      <c r="AW21" s="113">
        <f t="shared" si="4"/>
        <v>22202.7</v>
      </c>
      <c r="AX21" s="113">
        <f t="shared" si="4"/>
        <v>2925.99</v>
      </c>
      <c r="AY21" s="113">
        <f t="shared" si="4"/>
        <v>8948.9500000000007</v>
      </c>
      <c r="AZ21" s="113">
        <f t="shared" si="4"/>
        <v>60297.35</v>
      </c>
      <c r="BA21" s="113">
        <f t="shared" si="4"/>
        <v>6702.63</v>
      </c>
      <c r="BB21" s="113">
        <f>SUM(C21:BA21)</f>
        <v>654855.0399999998</v>
      </c>
      <c r="BC21" s="113">
        <f>SUM(C21:U21)</f>
        <v>353556.87999999995</v>
      </c>
      <c r="BD21" s="113">
        <f>SUM(V21:AG21)</f>
        <v>73282.679999999993</v>
      </c>
      <c r="BE21" s="113">
        <f>SUM(AH21:BA21)</f>
        <v>228015.48000000004</v>
      </c>
    </row>
    <row r="22" spans="1:57" ht="16.5" customHeight="1" x14ac:dyDescent="0.25">
      <c r="A22" s="30"/>
      <c r="B22" s="8" t="s">
        <v>304</v>
      </c>
      <c r="C22" s="19">
        <v>4669.01</v>
      </c>
      <c r="D22" s="19">
        <v>3007.8</v>
      </c>
      <c r="E22" s="19">
        <v>4111.66</v>
      </c>
      <c r="F22" s="19">
        <v>1959.16</v>
      </c>
      <c r="G22" s="19">
        <v>35983.71</v>
      </c>
      <c r="H22" s="19">
        <v>27959.45</v>
      </c>
      <c r="I22" s="19">
        <v>29787.17</v>
      </c>
      <c r="J22" s="19">
        <v>117255.3</v>
      </c>
      <c r="K22" s="19">
        <v>9737.0499999999993</v>
      </c>
      <c r="L22" s="19">
        <v>1210.0899999999999</v>
      </c>
      <c r="M22" s="19">
        <v>69359.75</v>
      </c>
      <c r="N22" s="19">
        <v>3560.77</v>
      </c>
      <c r="O22" s="19">
        <v>1213.29</v>
      </c>
      <c r="P22" s="19">
        <v>2787.03</v>
      </c>
      <c r="Q22" s="19">
        <v>3900.99</v>
      </c>
      <c r="R22" s="19">
        <v>9312.85</v>
      </c>
      <c r="S22" s="19">
        <v>2267.85</v>
      </c>
      <c r="T22" s="19">
        <v>2504.15</v>
      </c>
      <c r="U22" s="19">
        <v>32867</v>
      </c>
      <c r="V22" s="19">
        <v>1447.7</v>
      </c>
      <c r="W22" s="19">
        <v>6902.22</v>
      </c>
      <c r="X22" s="19">
        <v>12105.75</v>
      </c>
      <c r="Y22" s="19">
        <v>1664.5</v>
      </c>
      <c r="Z22" s="19">
        <v>4161.97</v>
      </c>
      <c r="AA22" s="19">
        <v>3866.99</v>
      </c>
      <c r="AB22" s="19">
        <v>2751.67</v>
      </c>
      <c r="AC22" s="19">
        <v>8627.09</v>
      </c>
      <c r="AD22" s="19">
        <v>16755.64</v>
      </c>
      <c r="AE22" s="19">
        <v>12838.4</v>
      </c>
      <c r="AF22" s="19">
        <v>1636.55</v>
      </c>
      <c r="AG22" s="19">
        <v>524.20000000000005</v>
      </c>
      <c r="AH22" s="19">
        <v>19181.419999999998</v>
      </c>
      <c r="AI22" s="19">
        <v>9681.15</v>
      </c>
      <c r="AJ22" s="19">
        <v>15101.23</v>
      </c>
      <c r="AK22" s="19">
        <v>2170.3000000000002</v>
      </c>
      <c r="AL22" s="19">
        <v>7662.54</v>
      </c>
      <c r="AM22" s="19">
        <v>6061.6</v>
      </c>
      <c r="AN22" s="19">
        <v>4643.8500000000004</v>
      </c>
      <c r="AO22" s="19">
        <v>8371.4</v>
      </c>
      <c r="AP22" s="19">
        <v>5463.7</v>
      </c>
      <c r="AQ22" s="19">
        <v>11581.1</v>
      </c>
      <c r="AR22" s="19">
        <v>1515.82</v>
      </c>
      <c r="AS22" s="19">
        <v>24337.9</v>
      </c>
      <c r="AT22" s="19">
        <v>6319.29</v>
      </c>
      <c r="AU22" s="19">
        <v>2758.14</v>
      </c>
      <c r="AV22" s="19">
        <v>2248.7199999999998</v>
      </c>
      <c r="AW22" s="19">
        <v>22202.7</v>
      </c>
      <c r="AX22" s="19">
        <v>2925.99</v>
      </c>
      <c r="AY22" s="19">
        <v>8948.9500000000007</v>
      </c>
      <c r="AZ22" s="19">
        <v>62297.35</v>
      </c>
      <c r="BA22" s="19">
        <v>6702.63</v>
      </c>
      <c r="BB22" s="19">
        <f>SUM(C22:BA22)</f>
        <v>666912.5399999998</v>
      </c>
      <c r="BC22" s="19">
        <f>SUM(C22:U22)</f>
        <v>363454.08</v>
      </c>
      <c r="BD22" s="19">
        <f>SUM(V22:AG22)</f>
        <v>73282.679999999993</v>
      </c>
      <c r="BE22" s="19">
        <f>SUM(AH22:BA22)</f>
        <v>230175.78000000003</v>
      </c>
    </row>
    <row r="23" spans="1:57" ht="16.5" customHeight="1" x14ac:dyDescent="0.25">
      <c r="A23" s="30"/>
      <c r="B23" s="8" t="s">
        <v>305</v>
      </c>
      <c r="C23" s="19">
        <v>0</v>
      </c>
      <c r="D23" s="19">
        <v>0</v>
      </c>
      <c r="E23" s="19">
        <v>0</v>
      </c>
      <c r="F23" s="19">
        <v>0</v>
      </c>
      <c r="G23" s="19">
        <v>0</v>
      </c>
      <c r="H23" s="19">
        <v>0</v>
      </c>
      <c r="I23" s="19">
        <v>0</v>
      </c>
      <c r="J23" s="19">
        <v>9897.2000000000007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160.30000000000001</v>
      </c>
      <c r="AO23" s="19">
        <v>0</v>
      </c>
      <c r="AP23" s="19">
        <v>0</v>
      </c>
      <c r="AQ23" s="19">
        <v>0</v>
      </c>
      <c r="AR23" s="19">
        <v>0</v>
      </c>
      <c r="AS23" s="19">
        <v>0</v>
      </c>
      <c r="AT23" s="19">
        <v>0</v>
      </c>
      <c r="AU23" s="19">
        <v>0</v>
      </c>
      <c r="AV23" s="19">
        <v>0</v>
      </c>
      <c r="AW23" s="19">
        <v>0</v>
      </c>
      <c r="AX23" s="19">
        <v>0</v>
      </c>
      <c r="AY23" s="19">
        <v>0</v>
      </c>
      <c r="AZ23" s="19">
        <v>2000</v>
      </c>
      <c r="BA23" s="19">
        <v>0</v>
      </c>
      <c r="BB23" s="19">
        <f>SUM(C23:BA23)</f>
        <v>12057.5</v>
      </c>
      <c r="BC23" s="19">
        <f>SUM(C23:U23)</f>
        <v>9897.2000000000007</v>
      </c>
      <c r="BD23" s="19">
        <f>SUM(V23:AG23)</f>
        <v>0</v>
      </c>
      <c r="BE23" s="19">
        <f>SUM(AH23:BA23)</f>
        <v>2160.3000000000002</v>
      </c>
    </row>
    <row r="24" spans="1:57" ht="16.5" customHeight="1" x14ac:dyDescent="0.25">
      <c r="A24" s="30"/>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82"/>
      <c r="BC24" s="82"/>
      <c r="BD24" s="82"/>
      <c r="BE24" s="82"/>
    </row>
    <row r="25" spans="1:57" ht="16.5" customHeight="1" x14ac:dyDescent="0.25">
      <c r="A25" s="109">
        <v>5</v>
      </c>
      <c r="B25" s="85" t="s">
        <v>300</v>
      </c>
      <c r="C25" s="113">
        <f>C26-C27</f>
        <v>691232</v>
      </c>
      <c r="D25" s="113">
        <f t="shared" ref="D25:BA25" si="5">D26-D27</f>
        <v>192660.05000000002</v>
      </c>
      <c r="E25" s="113">
        <f t="shared" si="5"/>
        <v>382531.26</v>
      </c>
      <c r="F25" s="113">
        <f t="shared" si="5"/>
        <v>372908</v>
      </c>
      <c r="G25" s="113">
        <f t="shared" si="5"/>
        <v>3011007.88</v>
      </c>
      <c r="H25" s="113">
        <f t="shared" si="5"/>
        <v>2831936.1100000003</v>
      </c>
      <c r="I25" s="113">
        <f t="shared" si="5"/>
        <v>2015587.14</v>
      </c>
      <c r="J25" s="113">
        <f t="shared" si="5"/>
        <v>11540257.550000001</v>
      </c>
      <c r="K25" s="113">
        <f t="shared" si="5"/>
        <v>1305243.22</v>
      </c>
      <c r="L25" s="113">
        <f t="shared" si="5"/>
        <v>63163.05</v>
      </c>
      <c r="M25" s="113">
        <f t="shared" si="5"/>
        <v>6105131.0100000007</v>
      </c>
      <c r="N25" s="113">
        <f t="shared" si="5"/>
        <v>408968.4</v>
      </c>
      <c r="O25" s="113">
        <f t="shared" si="5"/>
        <v>87845.05</v>
      </c>
      <c r="P25" s="113">
        <f t="shared" si="5"/>
        <v>353749.6</v>
      </c>
      <c r="Q25" s="113">
        <f t="shared" si="5"/>
        <v>268914.58</v>
      </c>
      <c r="R25" s="113">
        <f t="shared" si="5"/>
        <v>611452.19999999995</v>
      </c>
      <c r="S25" s="113">
        <f t="shared" si="5"/>
        <v>202480.95</v>
      </c>
      <c r="T25" s="113">
        <f t="shared" si="5"/>
        <v>341354.07999999996</v>
      </c>
      <c r="U25" s="113">
        <f t="shared" si="5"/>
        <v>2622187.52</v>
      </c>
      <c r="V25" s="113">
        <f t="shared" si="5"/>
        <v>318246.45</v>
      </c>
      <c r="W25" s="113">
        <f t="shared" si="5"/>
        <v>936398.57000000007</v>
      </c>
      <c r="X25" s="113">
        <f t="shared" si="5"/>
        <v>1366573.78</v>
      </c>
      <c r="Y25" s="113">
        <f t="shared" si="5"/>
        <v>131157.35</v>
      </c>
      <c r="Z25" s="113">
        <f t="shared" si="5"/>
        <v>415553.85000000003</v>
      </c>
      <c r="AA25" s="113">
        <f t="shared" si="5"/>
        <v>588809.05000000005</v>
      </c>
      <c r="AB25" s="113">
        <f t="shared" si="5"/>
        <v>443918.10000000003</v>
      </c>
      <c r="AC25" s="113">
        <f t="shared" si="5"/>
        <v>413229.9</v>
      </c>
      <c r="AD25" s="113">
        <f t="shared" si="5"/>
        <v>1570091.47</v>
      </c>
      <c r="AE25" s="113">
        <f t="shared" si="5"/>
        <v>2000241.25</v>
      </c>
      <c r="AF25" s="113">
        <f t="shared" si="5"/>
        <v>185599</v>
      </c>
      <c r="AG25" s="113">
        <f t="shared" si="5"/>
        <v>93802.25</v>
      </c>
      <c r="AH25" s="113">
        <f t="shared" si="5"/>
        <v>1525641.55</v>
      </c>
      <c r="AI25" s="113">
        <f t="shared" si="5"/>
        <v>1049209.56</v>
      </c>
      <c r="AJ25" s="113">
        <f t="shared" si="5"/>
        <v>982726.49</v>
      </c>
      <c r="AK25" s="113">
        <f t="shared" si="5"/>
        <v>69856.63</v>
      </c>
      <c r="AL25" s="113">
        <f t="shared" si="5"/>
        <v>1034713.4600000001</v>
      </c>
      <c r="AM25" s="113">
        <f t="shared" si="5"/>
        <v>399011.85000000009</v>
      </c>
      <c r="AN25" s="113">
        <f t="shared" si="5"/>
        <v>505186.07000000007</v>
      </c>
      <c r="AO25" s="113">
        <f t="shared" si="5"/>
        <v>1074341.55</v>
      </c>
      <c r="AP25" s="113">
        <f t="shared" si="5"/>
        <v>625344.25</v>
      </c>
      <c r="AQ25" s="113">
        <f t="shared" si="5"/>
        <v>882908.75</v>
      </c>
      <c r="AR25" s="113">
        <f t="shared" si="5"/>
        <v>238680.90000000002</v>
      </c>
      <c r="AS25" s="113">
        <f t="shared" si="5"/>
        <v>2022365.34</v>
      </c>
      <c r="AT25" s="113">
        <f t="shared" si="5"/>
        <v>626945.4</v>
      </c>
      <c r="AU25" s="113">
        <f t="shared" si="5"/>
        <v>294553.2</v>
      </c>
      <c r="AV25" s="113">
        <f t="shared" si="5"/>
        <v>267314.45</v>
      </c>
      <c r="AW25" s="113">
        <f t="shared" si="5"/>
        <v>1390686.5999999999</v>
      </c>
      <c r="AX25" s="113">
        <f t="shared" si="5"/>
        <v>317864.5</v>
      </c>
      <c r="AY25" s="113">
        <f t="shared" si="5"/>
        <v>1138102.46</v>
      </c>
      <c r="AZ25" s="113">
        <f t="shared" si="5"/>
        <v>5483517.4100000001</v>
      </c>
      <c r="BA25" s="113">
        <f t="shared" si="5"/>
        <v>445400.39999999997</v>
      </c>
      <c r="BB25" s="113">
        <f>SUM(C25:BA25)</f>
        <v>62246601.490000017</v>
      </c>
      <c r="BC25" s="113">
        <f>SUM(C25:U25)</f>
        <v>33408609.649999999</v>
      </c>
      <c r="BD25" s="113">
        <f>SUM(V25:AG25)</f>
        <v>8463621.0199999996</v>
      </c>
      <c r="BE25" s="113">
        <f>SUM(AH25:BA25)</f>
        <v>20374370.82</v>
      </c>
    </row>
    <row r="26" spans="1:57" ht="16.5" customHeight="1" x14ac:dyDescent="0.25">
      <c r="A26" s="30"/>
      <c r="B26" s="8" t="s">
        <v>304</v>
      </c>
      <c r="C26" s="19">
        <v>950757.15</v>
      </c>
      <c r="D26" s="19">
        <v>253192.2</v>
      </c>
      <c r="E26" s="19">
        <v>414035.21</v>
      </c>
      <c r="F26" s="19">
        <v>376922.3</v>
      </c>
      <c r="G26" s="19">
        <v>3984172.33</v>
      </c>
      <c r="H26" s="19">
        <v>3983538.83</v>
      </c>
      <c r="I26" s="19">
        <v>2912556.94</v>
      </c>
      <c r="J26" s="19">
        <v>23206283.57</v>
      </c>
      <c r="K26" s="19">
        <v>1669934.17</v>
      </c>
      <c r="L26" s="19">
        <v>109653.1</v>
      </c>
      <c r="M26" s="19">
        <v>6500133.6500000004</v>
      </c>
      <c r="N26" s="19">
        <v>419561.5</v>
      </c>
      <c r="O26" s="19">
        <v>89307.85</v>
      </c>
      <c r="P26" s="19">
        <v>357505.8</v>
      </c>
      <c r="Q26" s="19">
        <v>270817.08</v>
      </c>
      <c r="R26" s="19">
        <v>624895.69999999995</v>
      </c>
      <c r="S26" s="19">
        <v>205834.75</v>
      </c>
      <c r="T26" s="19">
        <v>773658.45</v>
      </c>
      <c r="U26" s="19">
        <v>3545261.52</v>
      </c>
      <c r="V26" s="19">
        <v>340642.2</v>
      </c>
      <c r="W26" s="19">
        <v>2000540.08</v>
      </c>
      <c r="X26" s="19">
        <v>2684261.27</v>
      </c>
      <c r="Y26" s="19">
        <v>150716.6</v>
      </c>
      <c r="Z26" s="19">
        <v>443383.15</v>
      </c>
      <c r="AA26" s="19">
        <v>745937.55</v>
      </c>
      <c r="AB26" s="19">
        <v>486153.45</v>
      </c>
      <c r="AC26" s="19">
        <v>415379.9</v>
      </c>
      <c r="AD26" s="19">
        <v>2057345.97</v>
      </c>
      <c r="AE26" s="19">
        <v>2798648.25</v>
      </c>
      <c r="AF26" s="19">
        <v>188845.2</v>
      </c>
      <c r="AG26" s="19">
        <v>97455.7</v>
      </c>
      <c r="AH26" s="19">
        <v>2209728.25</v>
      </c>
      <c r="AI26" s="19">
        <v>1287764.26</v>
      </c>
      <c r="AJ26" s="19">
        <v>1347633.94</v>
      </c>
      <c r="AK26" s="19">
        <v>116836.88</v>
      </c>
      <c r="AL26" s="19">
        <v>1288904.56</v>
      </c>
      <c r="AM26" s="19">
        <v>1561059.11</v>
      </c>
      <c r="AN26" s="19">
        <v>611660.80000000005</v>
      </c>
      <c r="AO26" s="19">
        <v>1874533.3</v>
      </c>
      <c r="AP26" s="19">
        <v>694614.45</v>
      </c>
      <c r="AQ26" s="19">
        <v>1337225.3</v>
      </c>
      <c r="AR26" s="19">
        <v>316978.7</v>
      </c>
      <c r="AS26" s="19">
        <v>3334158.23</v>
      </c>
      <c r="AT26" s="19">
        <v>757938.85</v>
      </c>
      <c r="AU26" s="19">
        <v>304927.5</v>
      </c>
      <c r="AV26" s="19">
        <v>286198.05</v>
      </c>
      <c r="AW26" s="19">
        <v>1658376.15</v>
      </c>
      <c r="AX26" s="19">
        <v>324148.09999999998</v>
      </c>
      <c r="AY26" s="19">
        <v>1837408.44</v>
      </c>
      <c r="AZ26" s="19">
        <v>14972636.84</v>
      </c>
      <c r="BA26" s="19">
        <v>510244.35</v>
      </c>
      <c r="BB26" s="19">
        <f>SUM(C26:BA26)</f>
        <v>99690307.480000004</v>
      </c>
      <c r="BC26" s="19">
        <f>SUM(C26:U26)</f>
        <v>50648022.100000009</v>
      </c>
      <c r="BD26" s="19">
        <f>SUM(V26:AG26)</f>
        <v>12409309.32</v>
      </c>
      <c r="BE26" s="19">
        <f>SUM(AH26:BA26)</f>
        <v>36632976.060000002</v>
      </c>
    </row>
    <row r="27" spans="1:57" ht="16.5" customHeight="1" x14ac:dyDescent="0.25">
      <c r="A27" s="30"/>
      <c r="B27" s="8" t="s">
        <v>305</v>
      </c>
      <c r="C27" s="19">
        <v>259525.15</v>
      </c>
      <c r="D27" s="19">
        <v>60532.15</v>
      </c>
      <c r="E27" s="19">
        <v>31503.95</v>
      </c>
      <c r="F27" s="19">
        <v>4014.3</v>
      </c>
      <c r="G27" s="19">
        <v>973164.45</v>
      </c>
      <c r="H27" s="19">
        <v>1151602.72</v>
      </c>
      <c r="I27" s="19">
        <v>896969.8</v>
      </c>
      <c r="J27" s="19">
        <v>11666026.02</v>
      </c>
      <c r="K27" s="19">
        <v>364690.95</v>
      </c>
      <c r="L27" s="19">
        <v>46490.05</v>
      </c>
      <c r="M27" s="19">
        <v>395002.64</v>
      </c>
      <c r="N27" s="19">
        <v>10593.1</v>
      </c>
      <c r="O27" s="19">
        <v>1462.8</v>
      </c>
      <c r="P27" s="19">
        <v>3756.2</v>
      </c>
      <c r="Q27" s="19">
        <v>1902.5</v>
      </c>
      <c r="R27" s="19">
        <v>13443.5</v>
      </c>
      <c r="S27" s="19">
        <v>3353.8</v>
      </c>
      <c r="T27" s="19">
        <v>432304.37</v>
      </c>
      <c r="U27" s="19">
        <v>923074</v>
      </c>
      <c r="V27" s="19">
        <v>22395.75</v>
      </c>
      <c r="W27" s="19">
        <v>1064141.51</v>
      </c>
      <c r="X27" s="19">
        <v>1317687.49</v>
      </c>
      <c r="Y27" s="19">
        <v>19559.25</v>
      </c>
      <c r="Z27" s="19">
        <v>27829.3</v>
      </c>
      <c r="AA27" s="19">
        <v>157128.5</v>
      </c>
      <c r="AB27" s="19">
        <v>42235.35</v>
      </c>
      <c r="AC27" s="19">
        <v>2150</v>
      </c>
      <c r="AD27" s="19">
        <v>487254.5</v>
      </c>
      <c r="AE27" s="19">
        <v>798407</v>
      </c>
      <c r="AF27" s="19">
        <v>3246.2</v>
      </c>
      <c r="AG27" s="19">
        <v>3653.45</v>
      </c>
      <c r="AH27" s="19">
        <v>684086.7</v>
      </c>
      <c r="AI27" s="19">
        <v>238554.7</v>
      </c>
      <c r="AJ27" s="19">
        <v>364907.45</v>
      </c>
      <c r="AK27" s="19">
        <v>46980.25</v>
      </c>
      <c r="AL27" s="19">
        <v>254191.1</v>
      </c>
      <c r="AM27" s="19">
        <v>1162047.26</v>
      </c>
      <c r="AN27" s="19">
        <v>106474.73</v>
      </c>
      <c r="AO27" s="19">
        <v>800191.75</v>
      </c>
      <c r="AP27" s="19">
        <v>69270.2</v>
      </c>
      <c r="AQ27" s="19">
        <v>454316.55</v>
      </c>
      <c r="AR27" s="19">
        <v>78297.8</v>
      </c>
      <c r="AS27" s="19">
        <v>1311792.8899999999</v>
      </c>
      <c r="AT27" s="19">
        <v>130993.45</v>
      </c>
      <c r="AU27" s="19">
        <v>10374.299999999999</v>
      </c>
      <c r="AV27" s="19">
        <v>18883.599999999999</v>
      </c>
      <c r="AW27" s="19">
        <v>267689.55</v>
      </c>
      <c r="AX27" s="19">
        <v>6283.6</v>
      </c>
      <c r="AY27" s="19">
        <v>699305.98</v>
      </c>
      <c r="AZ27" s="19">
        <v>9489119.4299999997</v>
      </c>
      <c r="BA27" s="19">
        <v>64843.95</v>
      </c>
      <c r="BB27" s="19">
        <f>SUM(C27:BA27)</f>
        <v>37443705.99000001</v>
      </c>
      <c r="BC27" s="19">
        <f>SUM(C27:U27)</f>
        <v>17239412.449999999</v>
      </c>
      <c r="BD27" s="19">
        <f>SUM(V27:AG27)</f>
        <v>3945688.3000000003</v>
      </c>
      <c r="BE27" s="19">
        <f>SUM(AH27:BA27)</f>
        <v>16258605.239999998</v>
      </c>
    </row>
    <row r="28" spans="1:57" ht="16.5" customHeight="1" x14ac:dyDescent="0.25">
      <c r="A28" s="30"/>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82"/>
      <c r="BC28" s="82"/>
      <c r="BD28" s="82"/>
      <c r="BE28" s="82"/>
    </row>
    <row r="29" spans="1:57" ht="16.5" customHeight="1" x14ac:dyDescent="0.25">
      <c r="A29" s="109">
        <v>6</v>
      </c>
      <c r="B29" s="85" t="s">
        <v>828</v>
      </c>
      <c r="C29" s="113">
        <f>C30-C31</f>
        <v>292434.75</v>
      </c>
      <c r="D29" s="113">
        <f t="shared" ref="D29:BA29" si="6">D30-D31</f>
        <v>53135.649999999994</v>
      </c>
      <c r="E29" s="113">
        <f t="shared" si="6"/>
        <v>37579</v>
      </c>
      <c r="F29" s="113">
        <f t="shared" si="6"/>
        <v>46527.97</v>
      </c>
      <c r="G29" s="113">
        <f t="shared" si="6"/>
        <v>642622.47</v>
      </c>
      <c r="H29" s="113">
        <f t="shared" si="6"/>
        <v>694690.71</v>
      </c>
      <c r="I29" s="113">
        <f t="shared" si="6"/>
        <v>428721.22000000003</v>
      </c>
      <c r="J29" s="113">
        <f t="shared" si="6"/>
        <v>5525332.6600000001</v>
      </c>
      <c r="K29" s="113">
        <f t="shared" si="6"/>
        <v>250456.50999999995</v>
      </c>
      <c r="L29" s="113">
        <f t="shared" si="6"/>
        <v>36392.339999999997</v>
      </c>
      <c r="M29" s="113">
        <f t="shared" si="6"/>
        <v>1187253.5</v>
      </c>
      <c r="N29" s="113">
        <f t="shared" si="6"/>
        <v>57879.05</v>
      </c>
      <c r="O29" s="113">
        <f t="shared" si="6"/>
        <v>6472.31</v>
      </c>
      <c r="P29" s="113">
        <f t="shared" si="6"/>
        <v>89202.799999999988</v>
      </c>
      <c r="Q29" s="113">
        <f t="shared" si="6"/>
        <v>55486.259999999995</v>
      </c>
      <c r="R29" s="113">
        <f t="shared" si="6"/>
        <v>67883.549999999988</v>
      </c>
      <c r="S29" s="113">
        <f t="shared" si="6"/>
        <v>42743.399999999994</v>
      </c>
      <c r="T29" s="113">
        <f t="shared" si="6"/>
        <v>130010.67000000001</v>
      </c>
      <c r="U29" s="113">
        <f t="shared" si="6"/>
        <v>708195.93</v>
      </c>
      <c r="V29" s="113">
        <f t="shared" si="6"/>
        <v>71444.600000000006</v>
      </c>
      <c r="W29" s="113">
        <f t="shared" si="6"/>
        <v>283847.55</v>
      </c>
      <c r="X29" s="113">
        <f t="shared" si="6"/>
        <v>465499.85</v>
      </c>
      <c r="Y29" s="113">
        <f t="shared" si="6"/>
        <v>12265.020000000004</v>
      </c>
      <c r="Z29" s="113">
        <f t="shared" si="6"/>
        <v>185517.30000000002</v>
      </c>
      <c r="AA29" s="113">
        <f t="shared" si="6"/>
        <v>177098.92</v>
      </c>
      <c r="AB29" s="113">
        <f t="shared" si="6"/>
        <v>80704.200000000012</v>
      </c>
      <c r="AC29" s="113">
        <f t="shared" si="6"/>
        <v>138382.40999999997</v>
      </c>
      <c r="AD29" s="113">
        <f t="shared" si="6"/>
        <v>672473.13</v>
      </c>
      <c r="AE29" s="113">
        <f t="shared" si="6"/>
        <v>737959.92999999993</v>
      </c>
      <c r="AF29" s="113">
        <f t="shared" si="6"/>
        <v>-11775.629999999997</v>
      </c>
      <c r="AG29" s="113">
        <f t="shared" si="6"/>
        <v>23858.449999999997</v>
      </c>
      <c r="AH29" s="113">
        <f t="shared" si="6"/>
        <v>241784.43</v>
      </c>
      <c r="AI29" s="113">
        <f t="shared" si="6"/>
        <v>277927.92</v>
      </c>
      <c r="AJ29" s="113">
        <f t="shared" si="6"/>
        <v>358069.15</v>
      </c>
      <c r="AK29" s="113">
        <f t="shared" si="6"/>
        <v>61767.009999999995</v>
      </c>
      <c r="AL29" s="113">
        <f t="shared" si="6"/>
        <v>644537.54</v>
      </c>
      <c r="AM29" s="113">
        <f t="shared" si="6"/>
        <v>209384.81</v>
      </c>
      <c r="AN29" s="113">
        <f t="shared" si="6"/>
        <v>271816.48</v>
      </c>
      <c r="AO29" s="113">
        <f t="shared" si="6"/>
        <v>198930.49</v>
      </c>
      <c r="AP29" s="113">
        <f t="shared" si="6"/>
        <v>231365.87000000002</v>
      </c>
      <c r="AQ29" s="113">
        <f t="shared" si="6"/>
        <v>241296.95</v>
      </c>
      <c r="AR29" s="113">
        <f t="shared" si="6"/>
        <v>84877.55</v>
      </c>
      <c r="AS29" s="113">
        <f t="shared" si="6"/>
        <v>605994.82999999996</v>
      </c>
      <c r="AT29" s="113">
        <f t="shared" si="6"/>
        <v>190284.34999999998</v>
      </c>
      <c r="AU29" s="113">
        <f t="shared" si="6"/>
        <v>28718.14</v>
      </c>
      <c r="AV29" s="113">
        <f t="shared" si="6"/>
        <v>54845.75</v>
      </c>
      <c r="AW29" s="113">
        <f t="shared" si="6"/>
        <v>543970.65999999992</v>
      </c>
      <c r="AX29" s="113">
        <f t="shared" si="6"/>
        <v>57342.149999999994</v>
      </c>
      <c r="AY29" s="113">
        <f t="shared" si="6"/>
        <v>504898.33999999997</v>
      </c>
      <c r="AZ29" s="113">
        <f t="shared" si="6"/>
        <v>2235619.52</v>
      </c>
      <c r="BA29" s="113">
        <f t="shared" si="6"/>
        <v>148553.88999999998</v>
      </c>
      <c r="BB29" s="113">
        <f>SUM(C29:BA29)</f>
        <v>20382282.310000002</v>
      </c>
      <c r="BC29" s="113">
        <f>SUM(C29:U29)</f>
        <v>10353020.750000002</v>
      </c>
      <c r="BD29" s="113">
        <f>SUM(V29:AG29)</f>
        <v>2837275.7300000004</v>
      </c>
      <c r="BE29" s="113">
        <f>SUM(AH29:BA29)</f>
        <v>7191985.830000001</v>
      </c>
    </row>
    <row r="30" spans="1:57" ht="16.5" customHeight="1" x14ac:dyDescent="0.25">
      <c r="A30" s="30"/>
      <c r="B30" s="8" t="s">
        <v>304</v>
      </c>
      <c r="C30" s="19">
        <v>377802.35</v>
      </c>
      <c r="D30" s="19">
        <v>125363.5</v>
      </c>
      <c r="E30" s="19">
        <v>58687.9</v>
      </c>
      <c r="F30" s="19">
        <v>85075.47</v>
      </c>
      <c r="G30" s="19">
        <v>965474.07</v>
      </c>
      <c r="H30" s="19">
        <v>998366.75</v>
      </c>
      <c r="I30" s="19">
        <v>800646.77</v>
      </c>
      <c r="J30" s="19">
        <v>7813044.3700000001</v>
      </c>
      <c r="K30" s="19">
        <v>523038.66</v>
      </c>
      <c r="L30" s="19">
        <v>44442.49</v>
      </c>
      <c r="M30" s="19">
        <v>1964420</v>
      </c>
      <c r="N30" s="19">
        <v>88298.3</v>
      </c>
      <c r="O30" s="19">
        <v>13111.36</v>
      </c>
      <c r="P30" s="19">
        <v>188881.3</v>
      </c>
      <c r="Q30" s="19">
        <v>73890.06</v>
      </c>
      <c r="R30" s="19">
        <v>95742.2</v>
      </c>
      <c r="S30" s="19">
        <v>63955.35</v>
      </c>
      <c r="T30" s="19">
        <v>211162.67</v>
      </c>
      <c r="U30" s="19">
        <v>933700.28</v>
      </c>
      <c r="V30" s="19">
        <v>85553.8</v>
      </c>
      <c r="W30" s="19">
        <v>331907.25</v>
      </c>
      <c r="X30" s="19">
        <v>567406.85</v>
      </c>
      <c r="Y30" s="19">
        <v>43812.87</v>
      </c>
      <c r="Z30" s="19">
        <v>226166.7</v>
      </c>
      <c r="AA30" s="19">
        <v>364255.57</v>
      </c>
      <c r="AB30" s="19">
        <v>118666.35</v>
      </c>
      <c r="AC30" s="19">
        <v>230760.36</v>
      </c>
      <c r="AD30" s="19">
        <v>804620.03</v>
      </c>
      <c r="AE30" s="19">
        <v>1074639.76</v>
      </c>
      <c r="AF30" s="19">
        <v>47713.93</v>
      </c>
      <c r="AG30" s="19">
        <v>34754.6</v>
      </c>
      <c r="AH30" s="19">
        <v>394051.48</v>
      </c>
      <c r="AI30" s="19">
        <v>341085.92</v>
      </c>
      <c r="AJ30" s="19">
        <v>400993.59</v>
      </c>
      <c r="AK30" s="19">
        <v>73508.56</v>
      </c>
      <c r="AL30" s="19">
        <v>694482.89</v>
      </c>
      <c r="AM30" s="19">
        <v>293444.36</v>
      </c>
      <c r="AN30" s="19">
        <v>306401.18</v>
      </c>
      <c r="AO30" s="19">
        <v>405011.1</v>
      </c>
      <c r="AP30" s="19">
        <v>265929.02</v>
      </c>
      <c r="AQ30" s="19">
        <v>360217.5</v>
      </c>
      <c r="AR30" s="19">
        <v>101137.8</v>
      </c>
      <c r="AS30" s="19">
        <v>826903.83</v>
      </c>
      <c r="AT30" s="19">
        <v>224923.3</v>
      </c>
      <c r="AU30" s="19">
        <v>48536.74</v>
      </c>
      <c r="AV30" s="19">
        <v>71599.55</v>
      </c>
      <c r="AW30" s="19">
        <v>716043.36</v>
      </c>
      <c r="AX30" s="19">
        <v>75454.149999999994</v>
      </c>
      <c r="AY30" s="19">
        <v>609874.31999999995</v>
      </c>
      <c r="AZ30" s="19">
        <v>3041606.42</v>
      </c>
      <c r="BA30" s="19">
        <v>177235.09</v>
      </c>
      <c r="BB30" s="19">
        <f>SUM(C30:BA30)</f>
        <v>28783802.080000002</v>
      </c>
      <c r="BC30" s="19">
        <f>SUM(C30:U30)</f>
        <v>15425103.85</v>
      </c>
      <c r="BD30" s="19">
        <f>SUM(V30:AG30)</f>
        <v>3930258.0700000003</v>
      </c>
      <c r="BE30" s="19">
        <f>SUM(AH30:BA30)</f>
        <v>9428440.1600000001</v>
      </c>
    </row>
    <row r="31" spans="1:57" ht="16.5" customHeight="1" x14ac:dyDescent="0.25">
      <c r="A31" s="30"/>
      <c r="B31" s="8" t="s">
        <v>305</v>
      </c>
      <c r="C31" s="19">
        <v>85367.6</v>
      </c>
      <c r="D31" s="19">
        <v>72227.850000000006</v>
      </c>
      <c r="E31" s="19">
        <v>21108.9</v>
      </c>
      <c r="F31" s="19">
        <v>38547.5</v>
      </c>
      <c r="G31" s="19">
        <v>322851.59999999998</v>
      </c>
      <c r="H31" s="19">
        <v>303676.03999999998</v>
      </c>
      <c r="I31" s="19">
        <v>371925.55</v>
      </c>
      <c r="J31" s="19">
        <v>2287711.71</v>
      </c>
      <c r="K31" s="19">
        <v>272582.15000000002</v>
      </c>
      <c r="L31" s="19">
        <v>8050.15</v>
      </c>
      <c r="M31" s="19">
        <v>777166.5</v>
      </c>
      <c r="N31" s="19">
        <v>30419.25</v>
      </c>
      <c r="O31" s="19">
        <v>6639.05</v>
      </c>
      <c r="P31" s="19">
        <v>99678.5</v>
      </c>
      <c r="Q31" s="19">
        <v>18403.8</v>
      </c>
      <c r="R31" s="19">
        <v>27858.65</v>
      </c>
      <c r="S31" s="19">
        <v>21211.95</v>
      </c>
      <c r="T31" s="19">
        <v>81152</v>
      </c>
      <c r="U31" s="19">
        <v>225504.35</v>
      </c>
      <c r="V31" s="19">
        <v>14109.2</v>
      </c>
      <c r="W31" s="19">
        <v>48059.7</v>
      </c>
      <c r="X31" s="19">
        <v>101907</v>
      </c>
      <c r="Y31" s="19">
        <v>31547.85</v>
      </c>
      <c r="Z31" s="19">
        <v>40649.4</v>
      </c>
      <c r="AA31" s="19">
        <v>187156.65</v>
      </c>
      <c r="AB31" s="19">
        <v>37962.15</v>
      </c>
      <c r="AC31" s="19">
        <v>92377.95</v>
      </c>
      <c r="AD31" s="19">
        <v>132146.9</v>
      </c>
      <c r="AE31" s="19">
        <v>336679.83</v>
      </c>
      <c r="AF31" s="19">
        <v>59489.56</v>
      </c>
      <c r="AG31" s="19">
        <v>10896.15</v>
      </c>
      <c r="AH31" s="19">
        <v>152267.04999999999</v>
      </c>
      <c r="AI31" s="19">
        <v>63158</v>
      </c>
      <c r="AJ31" s="19">
        <v>42924.44</v>
      </c>
      <c r="AK31" s="19">
        <v>11741.55</v>
      </c>
      <c r="AL31" s="19">
        <v>49945.35</v>
      </c>
      <c r="AM31" s="19">
        <v>84059.55</v>
      </c>
      <c r="AN31" s="19">
        <v>34584.699999999997</v>
      </c>
      <c r="AO31" s="19">
        <v>206080.61</v>
      </c>
      <c r="AP31" s="19">
        <v>34563.15</v>
      </c>
      <c r="AQ31" s="19">
        <v>118920.55</v>
      </c>
      <c r="AR31" s="19">
        <v>16260.25</v>
      </c>
      <c r="AS31" s="19">
        <v>220909</v>
      </c>
      <c r="AT31" s="19">
        <v>34638.949999999997</v>
      </c>
      <c r="AU31" s="19">
        <v>19818.599999999999</v>
      </c>
      <c r="AV31" s="19">
        <v>16753.8</v>
      </c>
      <c r="AW31" s="19">
        <v>172072.7</v>
      </c>
      <c r="AX31" s="19">
        <v>18112</v>
      </c>
      <c r="AY31" s="19">
        <v>104975.98</v>
      </c>
      <c r="AZ31" s="19">
        <v>805986.9</v>
      </c>
      <c r="BA31" s="19">
        <v>28681.200000000001</v>
      </c>
      <c r="BB31" s="19">
        <f>SUM(C31:BA31)</f>
        <v>8401519.7700000014</v>
      </c>
      <c r="BC31" s="19">
        <f>SUM(C31:U31)</f>
        <v>5072083.0999999996</v>
      </c>
      <c r="BD31" s="19">
        <f>SUM(V31:AG31)</f>
        <v>1092982.3400000001</v>
      </c>
      <c r="BE31" s="19">
        <f>SUM(AH31:BA31)</f>
        <v>2236454.3300000005</v>
      </c>
    </row>
    <row r="32" spans="1:57" ht="16.5" customHeight="1" x14ac:dyDescent="0.25">
      <c r="A32" s="30"/>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82"/>
      <c r="BC32" s="82"/>
      <c r="BD32" s="82"/>
      <c r="BE32" s="82"/>
    </row>
    <row r="33" spans="1:57" ht="16.5" customHeight="1" x14ac:dyDescent="0.25">
      <c r="A33" s="109">
        <v>7</v>
      </c>
      <c r="B33" s="85" t="s">
        <v>301</v>
      </c>
      <c r="C33" s="113">
        <f>C34-C35</f>
        <v>-270619.98000000004</v>
      </c>
      <c r="D33" s="113">
        <f t="shared" ref="D33:BA33" si="7">D34-D35</f>
        <v>-36213.369999999995</v>
      </c>
      <c r="E33" s="113">
        <f t="shared" si="7"/>
        <v>-56652.739999999991</v>
      </c>
      <c r="F33" s="113">
        <f t="shared" si="7"/>
        <v>-89943.729999999981</v>
      </c>
      <c r="G33" s="113">
        <f t="shared" si="7"/>
        <v>-128742.56000000006</v>
      </c>
      <c r="H33" s="113">
        <f t="shared" si="7"/>
        <v>360595.12000000011</v>
      </c>
      <c r="I33" s="113">
        <f t="shared" si="7"/>
        <v>112088.40999999992</v>
      </c>
      <c r="J33" s="113">
        <f t="shared" si="7"/>
        <v>133661.77999999933</v>
      </c>
      <c r="K33" s="113">
        <f t="shared" si="7"/>
        <v>-81745.219999999972</v>
      </c>
      <c r="L33" s="113">
        <f t="shared" si="7"/>
        <v>15368.159999999996</v>
      </c>
      <c r="M33" s="113">
        <f t="shared" si="7"/>
        <v>-93270.820000000298</v>
      </c>
      <c r="N33" s="113">
        <f t="shared" si="7"/>
        <v>-21734.260000000009</v>
      </c>
      <c r="O33" s="113">
        <f t="shared" si="7"/>
        <v>-8773.8700000000026</v>
      </c>
      <c r="P33" s="113">
        <f t="shared" si="7"/>
        <v>55371.170000000013</v>
      </c>
      <c r="Q33" s="113">
        <f t="shared" si="7"/>
        <v>32756.160000000003</v>
      </c>
      <c r="R33" s="113">
        <f t="shared" si="7"/>
        <v>-16743.510000000009</v>
      </c>
      <c r="S33" s="113">
        <f t="shared" si="7"/>
        <v>-2881.8399999999965</v>
      </c>
      <c r="T33" s="113">
        <f t="shared" si="7"/>
        <v>51166.689999999973</v>
      </c>
      <c r="U33" s="113">
        <f t="shared" si="7"/>
        <v>-26800.089999999967</v>
      </c>
      <c r="V33" s="113">
        <f t="shared" si="7"/>
        <v>-6491</v>
      </c>
      <c r="W33" s="113">
        <f t="shared" si="7"/>
        <v>-115876.93999999994</v>
      </c>
      <c r="X33" s="113">
        <f t="shared" si="7"/>
        <v>-295198.42000000016</v>
      </c>
      <c r="Y33" s="113">
        <f t="shared" si="7"/>
        <v>-18069.300000000003</v>
      </c>
      <c r="Z33" s="113">
        <f t="shared" si="7"/>
        <v>-13111.320000000007</v>
      </c>
      <c r="AA33" s="113">
        <f t="shared" si="7"/>
        <v>28277.210000000021</v>
      </c>
      <c r="AB33" s="113">
        <f t="shared" si="7"/>
        <v>22079</v>
      </c>
      <c r="AC33" s="113">
        <f t="shared" si="7"/>
        <v>-17135.189999999973</v>
      </c>
      <c r="AD33" s="113">
        <f t="shared" si="7"/>
        <v>-245855.58999999985</v>
      </c>
      <c r="AE33" s="113">
        <f t="shared" si="7"/>
        <v>-354100.00999999978</v>
      </c>
      <c r="AF33" s="113">
        <f t="shared" si="7"/>
        <v>-7373.9700000000012</v>
      </c>
      <c r="AG33" s="113">
        <f t="shared" si="7"/>
        <v>-40743.180000000008</v>
      </c>
      <c r="AH33" s="113">
        <f t="shared" si="7"/>
        <v>-185209.56999999995</v>
      </c>
      <c r="AI33" s="113">
        <f t="shared" si="7"/>
        <v>19831.309999999939</v>
      </c>
      <c r="AJ33" s="113">
        <f t="shared" si="7"/>
        <v>21594.170000000042</v>
      </c>
      <c r="AK33" s="113">
        <f t="shared" si="7"/>
        <v>60463.740000000005</v>
      </c>
      <c r="AL33" s="113">
        <f t="shared" si="7"/>
        <v>138057.22999999998</v>
      </c>
      <c r="AM33" s="113">
        <f t="shared" si="7"/>
        <v>36626.469999999972</v>
      </c>
      <c r="AN33" s="113">
        <f t="shared" si="7"/>
        <v>5161.0299999999697</v>
      </c>
      <c r="AO33" s="113">
        <f t="shared" si="7"/>
        <v>-78344.280000000028</v>
      </c>
      <c r="AP33" s="113">
        <f t="shared" si="7"/>
        <v>116187.45000000001</v>
      </c>
      <c r="AQ33" s="113">
        <f t="shared" si="7"/>
        <v>25773.770000000019</v>
      </c>
      <c r="AR33" s="113">
        <f t="shared" si="7"/>
        <v>7791.3699999999953</v>
      </c>
      <c r="AS33" s="113">
        <f t="shared" si="7"/>
        <v>54694.339999999851</v>
      </c>
      <c r="AT33" s="113">
        <f t="shared" si="7"/>
        <v>-34630.349999999977</v>
      </c>
      <c r="AU33" s="113">
        <f t="shared" si="7"/>
        <v>-51585.679999999993</v>
      </c>
      <c r="AV33" s="113">
        <f t="shared" si="7"/>
        <v>-22923.75</v>
      </c>
      <c r="AW33" s="113">
        <f t="shared" si="7"/>
        <v>25281.060000000056</v>
      </c>
      <c r="AX33" s="113">
        <f t="shared" si="7"/>
        <v>29266.950000000012</v>
      </c>
      <c r="AY33" s="113">
        <f t="shared" si="7"/>
        <v>-2755.9500000000698</v>
      </c>
      <c r="AZ33" s="113">
        <f t="shared" si="7"/>
        <v>768067.15000000037</v>
      </c>
      <c r="BA33" s="113">
        <f t="shared" si="7"/>
        <v>7642.1499999999651</v>
      </c>
      <c r="BB33" s="113">
        <f>SUM(C33:BA33)</f>
        <v>-195724.60000000062</v>
      </c>
      <c r="BC33" s="113">
        <f>SUM(C33:U33)</f>
        <v>-73114.500000001019</v>
      </c>
      <c r="BD33" s="113">
        <f>SUM(V33:AG33)</f>
        <v>-1063598.7099999997</v>
      </c>
      <c r="BE33" s="113">
        <f>SUM(AH33:BA33)</f>
        <v>940988.6100000001</v>
      </c>
    </row>
    <row r="34" spans="1:57" ht="16.5" customHeight="1" x14ac:dyDescent="0.25">
      <c r="A34" s="30"/>
      <c r="B34" s="8" t="s">
        <v>304</v>
      </c>
      <c r="C34" s="19">
        <v>467769.92</v>
      </c>
      <c r="D34" s="19">
        <v>176287.63</v>
      </c>
      <c r="E34" s="19">
        <v>208885.19</v>
      </c>
      <c r="F34" s="19">
        <v>82088.570000000007</v>
      </c>
      <c r="G34" s="19">
        <v>2125310.87</v>
      </c>
      <c r="H34" s="19">
        <v>1602758.61</v>
      </c>
      <c r="I34" s="19">
        <v>1459311.96</v>
      </c>
      <c r="J34" s="19">
        <v>12020417.84</v>
      </c>
      <c r="K34" s="19">
        <v>776248.66</v>
      </c>
      <c r="L34" s="19">
        <v>54900.31</v>
      </c>
      <c r="M34" s="19">
        <v>4067446.67</v>
      </c>
      <c r="N34" s="19">
        <v>142961.41</v>
      </c>
      <c r="O34" s="19">
        <v>43830.18</v>
      </c>
      <c r="P34" s="19">
        <v>292204.82</v>
      </c>
      <c r="Q34" s="19">
        <v>290960.33</v>
      </c>
      <c r="R34" s="19">
        <v>443915.39</v>
      </c>
      <c r="S34" s="19">
        <v>154615.46</v>
      </c>
      <c r="T34" s="19">
        <v>237829.11</v>
      </c>
      <c r="U34" s="19">
        <v>941554.42</v>
      </c>
      <c r="V34" s="19">
        <v>178516.65</v>
      </c>
      <c r="W34" s="19">
        <v>698451.01</v>
      </c>
      <c r="X34" s="19">
        <v>852554.95</v>
      </c>
      <c r="Y34" s="19">
        <v>72622.55</v>
      </c>
      <c r="Z34" s="19">
        <v>469702.29</v>
      </c>
      <c r="AA34" s="19">
        <v>510791.56</v>
      </c>
      <c r="AB34" s="19">
        <v>457823.63</v>
      </c>
      <c r="AC34" s="19">
        <v>254327.97</v>
      </c>
      <c r="AD34" s="19">
        <v>1332925.3400000001</v>
      </c>
      <c r="AE34" s="19">
        <v>1803013.52</v>
      </c>
      <c r="AF34" s="19">
        <v>162957.28</v>
      </c>
      <c r="AG34" s="19">
        <v>76062.7</v>
      </c>
      <c r="AH34" s="19">
        <v>962712.12</v>
      </c>
      <c r="AI34" s="19">
        <v>695938.24</v>
      </c>
      <c r="AJ34" s="19">
        <v>666773.11</v>
      </c>
      <c r="AK34" s="19">
        <v>147027.04</v>
      </c>
      <c r="AL34" s="19">
        <v>920841.6</v>
      </c>
      <c r="AM34" s="19">
        <v>378310.06</v>
      </c>
      <c r="AN34" s="19">
        <v>338818.49</v>
      </c>
      <c r="AO34" s="19">
        <v>637656</v>
      </c>
      <c r="AP34" s="19">
        <v>463321.05</v>
      </c>
      <c r="AQ34" s="19">
        <v>588013.12</v>
      </c>
      <c r="AR34" s="19">
        <v>152176.18</v>
      </c>
      <c r="AS34" s="19">
        <v>1442223.94</v>
      </c>
      <c r="AT34" s="19">
        <v>356069.2</v>
      </c>
      <c r="AU34" s="19">
        <v>212528.86</v>
      </c>
      <c r="AV34" s="19">
        <v>189065.75</v>
      </c>
      <c r="AW34" s="19">
        <v>794136.52</v>
      </c>
      <c r="AX34" s="19">
        <v>414260.99</v>
      </c>
      <c r="AY34" s="19">
        <v>687345.58</v>
      </c>
      <c r="AZ34" s="19">
        <v>5023201.07</v>
      </c>
      <c r="BA34" s="19">
        <v>284673.3</v>
      </c>
      <c r="BB34" s="19">
        <f>SUM(C34:BA34)</f>
        <v>47814139.019999996</v>
      </c>
      <c r="BC34" s="19">
        <f>SUM(C34:U34)</f>
        <v>25589297.349999998</v>
      </c>
      <c r="BD34" s="19">
        <f>SUM(V34:AG34)</f>
        <v>6869749.4500000011</v>
      </c>
      <c r="BE34" s="19">
        <f>SUM(AH34:BA34)</f>
        <v>15355092.220000001</v>
      </c>
    </row>
    <row r="35" spans="1:57" ht="16.5" customHeight="1" x14ac:dyDescent="0.25">
      <c r="A35" s="30"/>
      <c r="B35" s="8" t="s">
        <v>305</v>
      </c>
      <c r="C35" s="19">
        <v>738389.9</v>
      </c>
      <c r="D35" s="19">
        <v>212501</v>
      </c>
      <c r="E35" s="19">
        <v>265537.93</v>
      </c>
      <c r="F35" s="19">
        <v>172032.3</v>
      </c>
      <c r="G35" s="19">
        <v>2254053.4300000002</v>
      </c>
      <c r="H35" s="19">
        <v>1242163.49</v>
      </c>
      <c r="I35" s="19">
        <v>1347223.55</v>
      </c>
      <c r="J35" s="19">
        <v>11886756.060000001</v>
      </c>
      <c r="K35" s="19">
        <v>857993.88</v>
      </c>
      <c r="L35" s="19">
        <v>39532.15</v>
      </c>
      <c r="M35" s="19">
        <v>4160717.49</v>
      </c>
      <c r="N35" s="19">
        <v>164695.67000000001</v>
      </c>
      <c r="O35" s="19">
        <v>52604.05</v>
      </c>
      <c r="P35" s="19">
        <v>236833.65</v>
      </c>
      <c r="Q35" s="19">
        <v>258204.17</v>
      </c>
      <c r="R35" s="19">
        <v>460658.9</v>
      </c>
      <c r="S35" s="19">
        <v>157497.29999999999</v>
      </c>
      <c r="T35" s="19">
        <v>186662.42</v>
      </c>
      <c r="U35" s="19">
        <v>968354.51</v>
      </c>
      <c r="V35" s="19">
        <v>185007.65</v>
      </c>
      <c r="W35" s="19">
        <v>814327.95</v>
      </c>
      <c r="X35" s="19">
        <v>1147753.3700000001</v>
      </c>
      <c r="Y35" s="19">
        <v>90691.85</v>
      </c>
      <c r="Z35" s="19">
        <v>482813.61</v>
      </c>
      <c r="AA35" s="19">
        <v>482514.35</v>
      </c>
      <c r="AB35" s="19">
        <v>435744.63</v>
      </c>
      <c r="AC35" s="19">
        <v>271463.15999999997</v>
      </c>
      <c r="AD35" s="19">
        <v>1578780.93</v>
      </c>
      <c r="AE35" s="19">
        <v>2157113.5299999998</v>
      </c>
      <c r="AF35" s="19">
        <v>170331.25</v>
      </c>
      <c r="AG35" s="19">
        <v>116805.88</v>
      </c>
      <c r="AH35" s="19">
        <v>1147921.69</v>
      </c>
      <c r="AI35" s="19">
        <v>676106.93</v>
      </c>
      <c r="AJ35" s="19">
        <v>645178.93999999994</v>
      </c>
      <c r="AK35" s="19">
        <v>86563.3</v>
      </c>
      <c r="AL35" s="19">
        <v>782784.37</v>
      </c>
      <c r="AM35" s="19">
        <v>341683.59</v>
      </c>
      <c r="AN35" s="19">
        <v>333657.46000000002</v>
      </c>
      <c r="AO35" s="19">
        <v>716000.28</v>
      </c>
      <c r="AP35" s="19">
        <v>347133.6</v>
      </c>
      <c r="AQ35" s="19">
        <v>562239.35</v>
      </c>
      <c r="AR35" s="19">
        <v>144384.81</v>
      </c>
      <c r="AS35" s="19">
        <v>1387529.6</v>
      </c>
      <c r="AT35" s="19">
        <v>390699.55</v>
      </c>
      <c r="AU35" s="19">
        <v>264114.53999999998</v>
      </c>
      <c r="AV35" s="19">
        <v>211989.5</v>
      </c>
      <c r="AW35" s="19">
        <v>768855.46</v>
      </c>
      <c r="AX35" s="19">
        <v>384994.04</v>
      </c>
      <c r="AY35" s="19">
        <v>690101.53</v>
      </c>
      <c r="AZ35" s="19">
        <v>4255133.92</v>
      </c>
      <c r="BA35" s="19">
        <v>277031.15000000002</v>
      </c>
      <c r="BB35" s="19">
        <f>SUM(C35:BA35)</f>
        <v>48009863.620000005</v>
      </c>
      <c r="BC35" s="19">
        <f>SUM(C35:U35)</f>
        <v>25662411.850000005</v>
      </c>
      <c r="BD35" s="19">
        <f>SUM(V35:AG35)</f>
        <v>7933348.1599999992</v>
      </c>
      <c r="BE35" s="19">
        <f>SUM(AH35:BA35)</f>
        <v>14414103.609999998</v>
      </c>
    </row>
    <row r="36" spans="1:57" ht="16.5" customHeight="1" x14ac:dyDescent="0.25">
      <c r="A36" s="30"/>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82"/>
      <c r="BC36" s="82"/>
      <c r="BD36" s="82"/>
      <c r="BE36" s="82"/>
    </row>
    <row r="37" spans="1:57" ht="16.5" customHeight="1" x14ac:dyDescent="0.25">
      <c r="A37" s="109">
        <v>8</v>
      </c>
      <c r="B37" s="85" t="s">
        <v>302</v>
      </c>
      <c r="C37" s="113">
        <f>C38-C39</f>
        <v>4318.5</v>
      </c>
      <c r="D37" s="113">
        <f t="shared" ref="D37:BA37" si="8">D38-D39</f>
        <v>1314</v>
      </c>
      <c r="E37" s="113">
        <f t="shared" si="8"/>
        <v>3304.8299999999981</v>
      </c>
      <c r="F37" s="113">
        <f t="shared" si="8"/>
        <v>-93586.93</v>
      </c>
      <c r="G37" s="113">
        <f t="shared" si="8"/>
        <v>214610.20999999973</v>
      </c>
      <c r="H37" s="113">
        <f t="shared" si="8"/>
        <v>-69853.75</v>
      </c>
      <c r="I37" s="113">
        <f t="shared" si="8"/>
        <v>2461.6199999999953</v>
      </c>
      <c r="J37" s="113">
        <f t="shared" si="8"/>
        <v>612043.80000000447</v>
      </c>
      <c r="K37" s="113">
        <f t="shared" si="8"/>
        <v>-67268.779999999795</v>
      </c>
      <c r="L37" s="113">
        <f t="shared" si="8"/>
        <v>1834.9</v>
      </c>
      <c r="M37" s="113">
        <f t="shared" si="8"/>
        <v>154562.5</v>
      </c>
      <c r="N37" s="113">
        <f t="shared" si="8"/>
        <v>-4653.4600000000064</v>
      </c>
      <c r="O37" s="113">
        <f t="shared" si="8"/>
        <v>-3977.3499999999995</v>
      </c>
      <c r="P37" s="113">
        <f t="shared" si="8"/>
        <v>-10103.65</v>
      </c>
      <c r="Q37" s="113">
        <f t="shared" si="8"/>
        <v>-2113.380000000001</v>
      </c>
      <c r="R37" s="113">
        <f t="shared" si="8"/>
        <v>-18467.819999999949</v>
      </c>
      <c r="S37" s="113">
        <f t="shared" si="8"/>
        <v>6180.2000000000007</v>
      </c>
      <c r="T37" s="113">
        <f t="shared" si="8"/>
        <v>-5416.0499999999993</v>
      </c>
      <c r="U37" s="113">
        <f t="shared" si="8"/>
        <v>9978.1699999999983</v>
      </c>
      <c r="V37" s="113">
        <f t="shared" si="8"/>
        <v>-8693.4899999999907</v>
      </c>
      <c r="W37" s="113">
        <f t="shared" si="8"/>
        <v>22563.4</v>
      </c>
      <c r="X37" s="113">
        <f t="shared" si="8"/>
        <v>-86318.560000000056</v>
      </c>
      <c r="Y37" s="113">
        <f t="shared" si="8"/>
        <v>-21175.469999999972</v>
      </c>
      <c r="Z37" s="113">
        <f t="shared" si="8"/>
        <v>-40588.330000000016</v>
      </c>
      <c r="AA37" s="113">
        <f t="shared" si="8"/>
        <v>-24689.289999999979</v>
      </c>
      <c r="AB37" s="113">
        <f t="shared" si="8"/>
        <v>-50498.559999999998</v>
      </c>
      <c r="AC37" s="113">
        <f t="shared" si="8"/>
        <v>-7019.8199999998324</v>
      </c>
      <c r="AD37" s="113">
        <f t="shared" si="8"/>
        <v>16879.369999999995</v>
      </c>
      <c r="AE37" s="113">
        <f t="shared" si="8"/>
        <v>84239.909999999916</v>
      </c>
      <c r="AF37" s="113">
        <f t="shared" si="8"/>
        <v>2885.9199999999983</v>
      </c>
      <c r="AG37" s="113">
        <f t="shared" si="8"/>
        <v>-64664.560000000005</v>
      </c>
      <c r="AH37" s="113">
        <f t="shared" si="8"/>
        <v>-17971.199999999983</v>
      </c>
      <c r="AI37" s="113">
        <f t="shared" si="8"/>
        <v>-148827.96999999997</v>
      </c>
      <c r="AJ37" s="113">
        <f t="shared" si="8"/>
        <v>-63350.579999999987</v>
      </c>
      <c r="AK37" s="113">
        <f t="shared" si="8"/>
        <v>-5854.3399999999965</v>
      </c>
      <c r="AL37" s="113">
        <f t="shared" si="8"/>
        <v>6965.0599999999977</v>
      </c>
      <c r="AM37" s="113">
        <f t="shared" si="8"/>
        <v>-67427.889999999985</v>
      </c>
      <c r="AN37" s="113">
        <f t="shared" si="8"/>
        <v>-40684.03</v>
      </c>
      <c r="AO37" s="113">
        <f t="shared" si="8"/>
        <v>49375.769999999902</v>
      </c>
      <c r="AP37" s="113">
        <f t="shared" si="8"/>
        <v>-46156.25999999998</v>
      </c>
      <c r="AQ37" s="113">
        <f t="shared" si="8"/>
        <v>-90161.090000000026</v>
      </c>
      <c r="AR37" s="113">
        <f t="shared" si="8"/>
        <v>-8082.2299999999959</v>
      </c>
      <c r="AS37" s="113">
        <f t="shared" si="8"/>
        <v>3910.8500000000349</v>
      </c>
      <c r="AT37" s="113">
        <f t="shared" si="8"/>
        <v>-8828.3000000000029</v>
      </c>
      <c r="AU37" s="113">
        <f t="shared" si="8"/>
        <v>2023.0599999999977</v>
      </c>
      <c r="AV37" s="113">
        <f t="shared" si="8"/>
        <v>-7599.7300000000014</v>
      </c>
      <c r="AW37" s="113">
        <f t="shared" si="8"/>
        <v>25984.660000000033</v>
      </c>
      <c r="AX37" s="113">
        <f t="shared" si="8"/>
        <v>-44292.159999999996</v>
      </c>
      <c r="AY37" s="113">
        <f t="shared" si="8"/>
        <v>-183373.97</v>
      </c>
      <c r="AZ37" s="113">
        <f t="shared" si="8"/>
        <v>356821.27999999997</v>
      </c>
      <c r="BA37" s="113">
        <f t="shared" si="8"/>
        <v>-55996</v>
      </c>
      <c r="BB37" s="113">
        <f>SUM(C37:BA37)</f>
        <v>214563.01000000461</v>
      </c>
      <c r="BC37" s="113">
        <f>SUM(C37:U37)</f>
        <v>735167.56000000448</v>
      </c>
      <c r="BD37" s="113">
        <f>SUM(V37:AG37)</f>
        <v>-177079.47999999995</v>
      </c>
      <c r="BE37" s="113">
        <f>SUM(AH37:BA37)</f>
        <v>-343525.07</v>
      </c>
    </row>
    <row r="38" spans="1:57" ht="16.5" customHeight="1" x14ac:dyDescent="0.25">
      <c r="A38" s="30"/>
      <c r="B38" s="8" t="s">
        <v>304</v>
      </c>
      <c r="C38" s="19">
        <v>26763.25</v>
      </c>
      <c r="D38" s="19">
        <v>1332</v>
      </c>
      <c r="E38" s="19">
        <v>20740.53</v>
      </c>
      <c r="F38" s="19">
        <v>521072.33</v>
      </c>
      <c r="G38" s="19">
        <v>2099318.5299999998</v>
      </c>
      <c r="H38" s="19">
        <v>1456984.92</v>
      </c>
      <c r="I38" s="19">
        <v>424016.45</v>
      </c>
      <c r="J38" s="19">
        <v>40725078.490000002</v>
      </c>
      <c r="K38" s="19">
        <v>2420140.04</v>
      </c>
      <c r="L38" s="19">
        <v>1834.9</v>
      </c>
      <c r="M38" s="19">
        <v>900718.95</v>
      </c>
      <c r="N38" s="19">
        <v>50632.84</v>
      </c>
      <c r="O38" s="19">
        <v>2312.3000000000002</v>
      </c>
      <c r="P38" s="19">
        <v>1700</v>
      </c>
      <c r="Q38" s="19">
        <v>16731.43</v>
      </c>
      <c r="R38" s="19">
        <v>373277.59</v>
      </c>
      <c r="S38" s="19">
        <v>11040.95</v>
      </c>
      <c r="T38" s="19">
        <v>9923.75</v>
      </c>
      <c r="U38" s="19">
        <v>97595.58</v>
      </c>
      <c r="V38" s="19">
        <v>692878.96</v>
      </c>
      <c r="W38" s="19">
        <v>55652</v>
      </c>
      <c r="X38" s="19">
        <v>1279797.03</v>
      </c>
      <c r="Y38" s="19">
        <v>280076.01</v>
      </c>
      <c r="Z38" s="19">
        <v>433156.81</v>
      </c>
      <c r="AA38" s="19">
        <v>293005.26</v>
      </c>
      <c r="AB38" s="19">
        <v>372064.59</v>
      </c>
      <c r="AC38" s="19">
        <v>1644857.81</v>
      </c>
      <c r="AD38" s="19">
        <v>963744.43</v>
      </c>
      <c r="AE38" s="19">
        <v>1064984.17</v>
      </c>
      <c r="AF38" s="19">
        <v>100430.17</v>
      </c>
      <c r="AG38" s="19">
        <v>44686.74</v>
      </c>
      <c r="AH38" s="19">
        <v>169296.2</v>
      </c>
      <c r="AI38" s="19">
        <v>663652</v>
      </c>
      <c r="AJ38" s="19">
        <v>139613.57</v>
      </c>
      <c r="AK38" s="19">
        <v>73745.67</v>
      </c>
      <c r="AL38" s="19">
        <v>250440.61</v>
      </c>
      <c r="AM38" s="19">
        <v>259570.41</v>
      </c>
      <c r="AN38" s="19">
        <v>6479</v>
      </c>
      <c r="AO38" s="19">
        <v>615829.31999999995</v>
      </c>
      <c r="AP38" s="19">
        <v>223316.48000000001</v>
      </c>
      <c r="AQ38" s="19">
        <v>244554.55</v>
      </c>
      <c r="AR38" s="19">
        <v>62856.69</v>
      </c>
      <c r="AS38" s="19">
        <v>312130.14</v>
      </c>
      <c r="AT38" s="19">
        <v>121202.26</v>
      </c>
      <c r="AU38" s="19">
        <v>202633.26</v>
      </c>
      <c r="AV38" s="19">
        <v>12622.47</v>
      </c>
      <c r="AW38" s="19">
        <v>337302.45</v>
      </c>
      <c r="AX38" s="19">
        <v>28541.71</v>
      </c>
      <c r="AY38" s="19">
        <v>139684.03</v>
      </c>
      <c r="AZ38" s="19">
        <v>443502.61</v>
      </c>
      <c r="BA38" s="19">
        <v>145702.95000000001</v>
      </c>
      <c r="BB38" s="19">
        <f>SUM(C38:BA38)</f>
        <v>60839225.190000013</v>
      </c>
      <c r="BC38" s="19">
        <f>SUM(C38:U38)</f>
        <v>49161214.830000006</v>
      </c>
      <c r="BD38" s="19">
        <f>SUM(V38:AG38)</f>
        <v>7225333.9800000004</v>
      </c>
      <c r="BE38" s="19">
        <f>SUM(AH38:BA38)</f>
        <v>4452676.38</v>
      </c>
    </row>
    <row r="39" spans="1:57" ht="16.5" customHeight="1" x14ac:dyDescent="0.25">
      <c r="A39" s="30"/>
      <c r="B39" s="8" t="s">
        <v>305</v>
      </c>
      <c r="C39" s="19">
        <v>22444.75</v>
      </c>
      <c r="D39" s="19">
        <v>18</v>
      </c>
      <c r="E39" s="19">
        <v>17435.7</v>
      </c>
      <c r="F39" s="19">
        <v>614659.26</v>
      </c>
      <c r="G39" s="19">
        <v>1884708.32</v>
      </c>
      <c r="H39" s="19">
        <v>1526838.67</v>
      </c>
      <c r="I39" s="19">
        <v>421554.83</v>
      </c>
      <c r="J39" s="19">
        <v>40113034.689999998</v>
      </c>
      <c r="K39" s="19">
        <v>2487408.8199999998</v>
      </c>
      <c r="L39" s="19">
        <v>0</v>
      </c>
      <c r="M39" s="19">
        <v>746156.45</v>
      </c>
      <c r="N39" s="19">
        <v>55286.3</v>
      </c>
      <c r="O39" s="19">
        <v>6289.65</v>
      </c>
      <c r="P39" s="19">
        <v>11803.65</v>
      </c>
      <c r="Q39" s="19">
        <v>18844.810000000001</v>
      </c>
      <c r="R39" s="19">
        <v>391745.41</v>
      </c>
      <c r="S39" s="19">
        <v>4860.75</v>
      </c>
      <c r="T39" s="19">
        <v>15339.8</v>
      </c>
      <c r="U39" s="19">
        <v>87617.41</v>
      </c>
      <c r="V39" s="19">
        <v>701572.45</v>
      </c>
      <c r="W39" s="19">
        <v>33088.6</v>
      </c>
      <c r="X39" s="19">
        <v>1366115.59</v>
      </c>
      <c r="Y39" s="19">
        <v>301251.48</v>
      </c>
      <c r="Z39" s="19">
        <v>473745.14</v>
      </c>
      <c r="AA39" s="19">
        <v>317694.55</v>
      </c>
      <c r="AB39" s="19">
        <v>422563.15</v>
      </c>
      <c r="AC39" s="19">
        <v>1651877.63</v>
      </c>
      <c r="AD39" s="19">
        <v>946865.06</v>
      </c>
      <c r="AE39" s="19">
        <v>980744.26</v>
      </c>
      <c r="AF39" s="19">
        <v>97544.25</v>
      </c>
      <c r="AG39" s="19">
        <v>109351.3</v>
      </c>
      <c r="AH39" s="19">
        <v>187267.4</v>
      </c>
      <c r="AI39" s="19">
        <v>812479.97</v>
      </c>
      <c r="AJ39" s="19">
        <v>202964.15</v>
      </c>
      <c r="AK39" s="19">
        <v>79600.009999999995</v>
      </c>
      <c r="AL39" s="19">
        <v>243475.55</v>
      </c>
      <c r="AM39" s="19">
        <v>326998.3</v>
      </c>
      <c r="AN39" s="19">
        <v>47163.03</v>
      </c>
      <c r="AO39" s="19">
        <v>566453.55000000005</v>
      </c>
      <c r="AP39" s="19">
        <v>269472.74</v>
      </c>
      <c r="AQ39" s="19">
        <v>334715.64</v>
      </c>
      <c r="AR39" s="19">
        <v>70938.92</v>
      </c>
      <c r="AS39" s="19">
        <v>308219.28999999998</v>
      </c>
      <c r="AT39" s="19">
        <v>130030.56</v>
      </c>
      <c r="AU39" s="19">
        <v>200610.2</v>
      </c>
      <c r="AV39" s="19">
        <v>20222.2</v>
      </c>
      <c r="AW39" s="19">
        <v>311317.78999999998</v>
      </c>
      <c r="AX39" s="19">
        <v>72833.87</v>
      </c>
      <c r="AY39" s="19">
        <v>323058</v>
      </c>
      <c r="AZ39" s="19">
        <v>86681.33</v>
      </c>
      <c r="BA39" s="19">
        <v>201698.95</v>
      </c>
      <c r="BB39" s="19">
        <f>SUM(C39:BA39)</f>
        <v>60624662.179999985</v>
      </c>
      <c r="BC39" s="19">
        <f>SUM(C39:U39)</f>
        <v>48426047.269999988</v>
      </c>
      <c r="BD39" s="19">
        <f>SUM(V39:AG39)</f>
        <v>7402413.46</v>
      </c>
      <c r="BE39" s="19">
        <f>SUM(AH39:BA39)</f>
        <v>4796201.4500000011</v>
      </c>
    </row>
    <row r="40" spans="1:57" ht="16.5" customHeight="1" x14ac:dyDescent="0.25">
      <c r="A40" s="30"/>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82"/>
      <c r="BC40" s="82"/>
      <c r="BD40" s="82"/>
      <c r="BE40" s="82"/>
    </row>
    <row r="41" spans="1:57" ht="16.5" customHeight="1" x14ac:dyDescent="0.25">
      <c r="A41" s="109">
        <v>9</v>
      </c>
      <c r="B41" s="85" t="s">
        <v>303</v>
      </c>
      <c r="C41" s="113">
        <f>C42-C43</f>
        <v>-2503226.5</v>
      </c>
      <c r="D41" s="113">
        <f t="shared" ref="D41:BA41" si="9">D42-D43</f>
        <v>-811220.1100000001</v>
      </c>
      <c r="E41" s="113">
        <f t="shared" si="9"/>
        <v>-1246805.72</v>
      </c>
      <c r="F41" s="113">
        <f t="shared" si="9"/>
        <v>-1185500.71</v>
      </c>
      <c r="G41" s="113">
        <f t="shared" si="9"/>
        <v>-10326300.73</v>
      </c>
      <c r="H41" s="113">
        <f t="shared" si="9"/>
        <v>-9444393.9000000004</v>
      </c>
      <c r="I41" s="113">
        <f t="shared" si="9"/>
        <v>-7223503.7699999996</v>
      </c>
      <c r="J41" s="113">
        <f t="shared" si="9"/>
        <v>-45724558.530000001</v>
      </c>
      <c r="K41" s="113">
        <f t="shared" si="9"/>
        <v>-4073227.6300000004</v>
      </c>
      <c r="L41" s="113">
        <f t="shared" si="9"/>
        <v>-363835.52</v>
      </c>
      <c r="M41" s="113">
        <f t="shared" si="9"/>
        <v>-20672989.57</v>
      </c>
      <c r="N41" s="113">
        <f t="shared" si="9"/>
        <v>-1403495.5799999998</v>
      </c>
      <c r="O41" s="113">
        <f t="shared" si="9"/>
        <v>-303750.45999999996</v>
      </c>
      <c r="P41" s="113">
        <f t="shared" si="9"/>
        <v>-1262008.6099999999</v>
      </c>
      <c r="Q41" s="113">
        <f t="shared" si="9"/>
        <v>-1038690.01</v>
      </c>
      <c r="R41" s="113">
        <f t="shared" si="9"/>
        <v>-2116247.6</v>
      </c>
      <c r="S41" s="113">
        <f t="shared" si="9"/>
        <v>-767068.37</v>
      </c>
      <c r="T41" s="113">
        <f t="shared" si="9"/>
        <v>-1337176.9300000002</v>
      </c>
      <c r="U41" s="113">
        <f t="shared" si="9"/>
        <v>-8974149.3300000001</v>
      </c>
      <c r="V41" s="113">
        <f t="shared" si="9"/>
        <v>-989162.79999999993</v>
      </c>
      <c r="W41" s="113">
        <f t="shared" si="9"/>
        <v>-3729072.2199999997</v>
      </c>
      <c r="X41" s="113">
        <f t="shared" si="9"/>
        <v>-7531952.1800000006</v>
      </c>
      <c r="Y41" s="113">
        <f t="shared" si="9"/>
        <v>-398291.3</v>
      </c>
      <c r="Z41" s="113">
        <f t="shared" si="9"/>
        <v>-1596680.2</v>
      </c>
      <c r="AA41" s="113">
        <f t="shared" si="9"/>
        <v>-2140102.7299999995</v>
      </c>
      <c r="AB41" s="113">
        <f t="shared" si="9"/>
        <v>-1604038.4300000002</v>
      </c>
      <c r="AC41" s="113">
        <f t="shared" si="9"/>
        <v>-1586561.01</v>
      </c>
      <c r="AD41" s="113">
        <f t="shared" si="9"/>
        <v>-5687040.46</v>
      </c>
      <c r="AE41" s="113">
        <f t="shared" si="9"/>
        <v>-7200988.2700000005</v>
      </c>
      <c r="AF41" s="113">
        <f t="shared" si="9"/>
        <v>-563349.6</v>
      </c>
      <c r="AG41" s="113">
        <f t="shared" si="9"/>
        <v>-224563.48000000004</v>
      </c>
      <c r="AH41" s="113">
        <f t="shared" si="9"/>
        <v>-5050388.79</v>
      </c>
      <c r="AI41" s="113">
        <f t="shared" si="9"/>
        <v>-3188291.14</v>
      </c>
      <c r="AJ41" s="113">
        <f t="shared" si="9"/>
        <v>-3564945.17</v>
      </c>
      <c r="AK41" s="113">
        <f t="shared" si="9"/>
        <v>-393660.47</v>
      </c>
      <c r="AL41" s="113">
        <f t="shared" si="9"/>
        <v>-6392349.1999999993</v>
      </c>
      <c r="AM41" s="113">
        <f t="shared" si="9"/>
        <v>-1294844.07</v>
      </c>
      <c r="AN41" s="113">
        <f t="shared" si="9"/>
        <v>-1982735.87</v>
      </c>
      <c r="AO41" s="113">
        <f t="shared" si="9"/>
        <v>-3495860.6</v>
      </c>
      <c r="AP41" s="113">
        <f t="shared" si="9"/>
        <v>-2221654.46</v>
      </c>
      <c r="AQ41" s="113">
        <f t="shared" si="9"/>
        <v>-2981002.33</v>
      </c>
      <c r="AR41" s="113">
        <f t="shared" si="9"/>
        <v>-1135607.7</v>
      </c>
      <c r="AS41" s="113">
        <f t="shared" si="9"/>
        <v>-7033881.8099999996</v>
      </c>
      <c r="AT41" s="113">
        <f t="shared" si="9"/>
        <v>-2546569.7200000002</v>
      </c>
      <c r="AU41" s="113">
        <f t="shared" si="9"/>
        <v>-1456687.44</v>
      </c>
      <c r="AV41" s="113">
        <f t="shared" si="9"/>
        <v>-1043442.81</v>
      </c>
      <c r="AW41" s="113">
        <f t="shared" si="9"/>
        <v>-5053811.84</v>
      </c>
      <c r="AX41" s="113">
        <f t="shared" si="9"/>
        <v>-1056802.94</v>
      </c>
      <c r="AY41" s="113">
        <f t="shared" si="9"/>
        <v>-3389342.73</v>
      </c>
      <c r="AZ41" s="113">
        <f t="shared" si="9"/>
        <v>-24198438.010000002</v>
      </c>
      <c r="BA41" s="113">
        <f t="shared" si="9"/>
        <v>-1669982.1099999999</v>
      </c>
      <c r="BB41" s="113">
        <f>SUM(C41:BA41)</f>
        <v>-233180251.46999994</v>
      </c>
      <c r="BC41" s="113">
        <f>SUM(C41:U41)</f>
        <v>-120778149.58</v>
      </c>
      <c r="BD41" s="113">
        <f>SUM(V41:AG41)</f>
        <v>-33251802.680000003</v>
      </c>
      <c r="BE41" s="113">
        <f>SUM(AH41:BA41)</f>
        <v>-79150299.209999993</v>
      </c>
    </row>
    <row r="42" spans="1:57" ht="16.5" customHeight="1" x14ac:dyDescent="0.3">
      <c r="A42" s="110"/>
      <c r="B42" s="8" t="s">
        <v>304</v>
      </c>
      <c r="C42" s="19">
        <v>458534.42</v>
      </c>
      <c r="D42" s="19">
        <v>53910.69</v>
      </c>
      <c r="E42" s="19">
        <v>106061.23</v>
      </c>
      <c r="F42" s="19">
        <v>100153.35</v>
      </c>
      <c r="G42" s="19">
        <v>2142180.5299999998</v>
      </c>
      <c r="H42" s="19">
        <v>3024784.65</v>
      </c>
      <c r="I42" s="19">
        <v>2054074.68</v>
      </c>
      <c r="J42" s="19">
        <v>14476722.189999999</v>
      </c>
      <c r="K42" s="19">
        <v>129551.1</v>
      </c>
      <c r="L42" s="19">
        <v>47695.61</v>
      </c>
      <c r="M42" s="19">
        <v>1183935.74</v>
      </c>
      <c r="N42" s="19">
        <v>281198.08000000002</v>
      </c>
      <c r="O42" s="19">
        <v>38737.660000000003</v>
      </c>
      <c r="P42" s="19">
        <v>239058.11</v>
      </c>
      <c r="Q42" s="19">
        <v>47042.48</v>
      </c>
      <c r="R42" s="19">
        <v>246228.32</v>
      </c>
      <c r="S42" s="19">
        <v>57255.519999999997</v>
      </c>
      <c r="T42" s="19">
        <v>162828.62</v>
      </c>
      <c r="U42" s="19">
        <v>2211556.7400000002</v>
      </c>
      <c r="V42" s="19">
        <v>21226.16</v>
      </c>
      <c r="W42" s="19">
        <v>1476836.04</v>
      </c>
      <c r="X42" s="19">
        <v>7767920.3099999996</v>
      </c>
      <c r="Y42" s="19">
        <v>45027.94</v>
      </c>
      <c r="Z42" s="19">
        <v>88976.85</v>
      </c>
      <c r="AA42" s="19">
        <v>438302.03</v>
      </c>
      <c r="AB42" s="19">
        <v>193953.39</v>
      </c>
      <c r="AC42" s="19">
        <v>680064.76</v>
      </c>
      <c r="AD42" s="19">
        <v>2385618.25</v>
      </c>
      <c r="AE42" s="19">
        <v>1663165.47</v>
      </c>
      <c r="AF42" s="19">
        <v>150570.51</v>
      </c>
      <c r="AG42" s="19">
        <v>210279.36</v>
      </c>
      <c r="AH42" s="19">
        <v>1208107.3</v>
      </c>
      <c r="AI42" s="19">
        <v>907451.75</v>
      </c>
      <c r="AJ42" s="19">
        <v>172320.87</v>
      </c>
      <c r="AK42" s="19">
        <v>27217.38</v>
      </c>
      <c r="AL42" s="19">
        <v>3403633.48</v>
      </c>
      <c r="AM42" s="19">
        <v>124201.3</v>
      </c>
      <c r="AN42" s="19">
        <v>457293.62</v>
      </c>
      <c r="AO42" s="19">
        <v>536319.64</v>
      </c>
      <c r="AP42" s="19">
        <v>111532.94</v>
      </c>
      <c r="AQ42" s="19">
        <v>292799.86</v>
      </c>
      <c r="AR42" s="19">
        <v>333703.71000000002</v>
      </c>
      <c r="AS42" s="19">
        <v>189189.82</v>
      </c>
      <c r="AT42" s="19">
        <v>138101.26999999999</v>
      </c>
      <c r="AU42" s="19">
        <v>19339.34</v>
      </c>
      <c r="AV42" s="19">
        <v>41084.49</v>
      </c>
      <c r="AW42" s="19">
        <v>683018.21</v>
      </c>
      <c r="AX42" s="19">
        <v>54752.99</v>
      </c>
      <c r="AY42" s="19">
        <v>548456.37</v>
      </c>
      <c r="AZ42" s="19">
        <v>6698952.9299999997</v>
      </c>
      <c r="BA42" s="19">
        <v>253773.77</v>
      </c>
      <c r="BB42" s="19">
        <f>SUM(C42:BA42)</f>
        <v>58384701.829999991</v>
      </c>
      <c r="BC42" s="19">
        <f>SUM(C42:U42)</f>
        <v>27061509.719999999</v>
      </c>
      <c r="BD42" s="19">
        <f>SUM(V42:AG42)</f>
        <v>15121941.069999998</v>
      </c>
      <c r="BE42" s="19">
        <f>SUM(AH42:BA42)</f>
        <v>16201251.039999999</v>
      </c>
    </row>
    <row r="43" spans="1:57" ht="16.5" customHeight="1" x14ac:dyDescent="0.3">
      <c r="A43" s="110"/>
      <c r="B43" s="8" t="s">
        <v>305</v>
      </c>
      <c r="C43" s="19">
        <v>2961760.92</v>
      </c>
      <c r="D43" s="19">
        <v>865130.8</v>
      </c>
      <c r="E43" s="19">
        <v>1352866.95</v>
      </c>
      <c r="F43" s="19">
        <v>1285654.06</v>
      </c>
      <c r="G43" s="19">
        <v>12468481.26</v>
      </c>
      <c r="H43" s="19">
        <v>12469178.550000001</v>
      </c>
      <c r="I43" s="19">
        <v>9277578.4499999993</v>
      </c>
      <c r="J43" s="19">
        <v>60201280.719999999</v>
      </c>
      <c r="K43" s="19">
        <v>4202778.7300000004</v>
      </c>
      <c r="L43" s="19">
        <v>411531.13</v>
      </c>
      <c r="M43" s="19">
        <v>21856925.309999999</v>
      </c>
      <c r="N43" s="19">
        <v>1684693.66</v>
      </c>
      <c r="O43" s="19">
        <v>342488.12</v>
      </c>
      <c r="P43" s="19">
        <v>1501066.72</v>
      </c>
      <c r="Q43" s="19">
        <v>1085732.49</v>
      </c>
      <c r="R43" s="19">
        <v>2362475.92</v>
      </c>
      <c r="S43" s="19">
        <v>824323.89</v>
      </c>
      <c r="T43" s="19">
        <v>1500005.55</v>
      </c>
      <c r="U43" s="19">
        <v>11185706.07</v>
      </c>
      <c r="V43" s="19">
        <v>1010388.96</v>
      </c>
      <c r="W43" s="19">
        <v>5205908.26</v>
      </c>
      <c r="X43" s="19">
        <v>15299872.49</v>
      </c>
      <c r="Y43" s="19">
        <v>443319.24</v>
      </c>
      <c r="Z43" s="19">
        <v>1685657.05</v>
      </c>
      <c r="AA43" s="19">
        <v>2578404.7599999998</v>
      </c>
      <c r="AB43" s="19">
        <v>1797991.82</v>
      </c>
      <c r="AC43" s="19">
        <v>2266625.77</v>
      </c>
      <c r="AD43" s="19">
        <v>8072658.71</v>
      </c>
      <c r="AE43" s="19">
        <v>8864153.7400000002</v>
      </c>
      <c r="AF43" s="19">
        <v>713920.11</v>
      </c>
      <c r="AG43" s="19">
        <v>434842.84</v>
      </c>
      <c r="AH43" s="19">
        <v>6258496.0899999999</v>
      </c>
      <c r="AI43" s="19">
        <v>4095742.89</v>
      </c>
      <c r="AJ43" s="19">
        <v>3737266.04</v>
      </c>
      <c r="AK43" s="19">
        <v>420877.85</v>
      </c>
      <c r="AL43" s="19">
        <v>9795982.6799999997</v>
      </c>
      <c r="AM43" s="19">
        <v>1419045.37</v>
      </c>
      <c r="AN43" s="19">
        <v>2440029.4900000002</v>
      </c>
      <c r="AO43" s="19">
        <v>4032180.24</v>
      </c>
      <c r="AP43" s="19">
        <v>2333187.4</v>
      </c>
      <c r="AQ43" s="19">
        <v>3273802.19</v>
      </c>
      <c r="AR43" s="19">
        <v>1469311.41</v>
      </c>
      <c r="AS43" s="19">
        <v>7223071.6299999999</v>
      </c>
      <c r="AT43" s="19">
        <v>2684670.99</v>
      </c>
      <c r="AU43" s="19">
        <v>1476026.78</v>
      </c>
      <c r="AV43" s="19">
        <v>1084527.3</v>
      </c>
      <c r="AW43" s="19">
        <v>5736830.0499999998</v>
      </c>
      <c r="AX43" s="19">
        <v>1111555.93</v>
      </c>
      <c r="AY43" s="19">
        <v>3937799.1</v>
      </c>
      <c r="AZ43" s="19">
        <v>30897390.940000001</v>
      </c>
      <c r="BA43" s="19">
        <v>1923755.88</v>
      </c>
      <c r="BB43" s="19">
        <f>SUM(C43:BA43)</f>
        <v>291564953.30000007</v>
      </c>
      <c r="BC43" s="19">
        <f>SUM(C43:U43)</f>
        <v>147839659.29999998</v>
      </c>
      <c r="BD43" s="19">
        <f>SUM(V43:AG43)</f>
        <v>48373743.75</v>
      </c>
      <c r="BE43" s="19">
        <f>SUM(AH43:BA43)</f>
        <v>95351550.249999985</v>
      </c>
    </row>
    <row r="44" spans="1:57" ht="16.5" customHeight="1" x14ac:dyDescent="0.3">
      <c r="A44" s="110"/>
      <c r="B44" s="111"/>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row>
    <row r="45" spans="1:57" ht="16.5" customHeight="1" x14ac:dyDescent="0.25">
      <c r="A45" s="109"/>
      <c r="B45" s="85" t="s">
        <v>306</v>
      </c>
      <c r="C45" s="113">
        <f>C5+C9+C13+C17+C21+C25+C29+C33+C37+C41</f>
        <v>0</v>
      </c>
      <c r="D45" s="113">
        <f t="shared" ref="D45:BE45" si="10">D5+D9+D13+D17+D21+D25+D29+D33+D37+D41</f>
        <v>-166436.57000000007</v>
      </c>
      <c r="E45" s="113">
        <f t="shared" si="10"/>
        <v>-51061.060000000056</v>
      </c>
      <c r="F45" s="113">
        <f t="shared" si="10"/>
        <v>-123375.72999999998</v>
      </c>
      <c r="G45" s="113">
        <f t="shared" si="10"/>
        <v>0</v>
      </c>
      <c r="H45" s="113">
        <f t="shared" si="10"/>
        <v>0</v>
      </c>
      <c r="I45" s="113">
        <f t="shared" si="10"/>
        <v>0</v>
      </c>
      <c r="J45" s="113">
        <f t="shared" si="10"/>
        <v>2174361.6000000015</v>
      </c>
      <c r="K45" s="113">
        <f t="shared" si="10"/>
        <v>-236485.23000000045</v>
      </c>
      <c r="L45" s="113">
        <f t="shared" si="10"/>
        <v>0</v>
      </c>
      <c r="M45" s="113">
        <f t="shared" si="10"/>
        <v>0</v>
      </c>
      <c r="N45" s="113">
        <f t="shared" si="10"/>
        <v>0</v>
      </c>
      <c r="O45" s="113">
        <f t="shared" si="10"/>
        <v>0</v>
      </c>
      <c r="P45" s="113">
        <f t="shared" si="10"/>
        <v>0</v>
      </c>
      <c r="Q45" s="113">
        <f t="shared" si="10"/>
        <v>0</v>
      </c>
      <c r="R45" s="113">
        <f t="shared" si="10"/>
        <v>0</v>
      </c>
      <c r="S45" s="113">
        <f t="shared" si="10"/>
        <v>-28612.839999999967</v>
      </c>
      <c r="T45" s="113">
        <f t="shared" si="10"/>
        <v>0</v>
      </c>
      <c r="U45" s="113">
        <f t="shared" si="10"/>
        <v>0</v>
      </c>
      <c r="V45" s="113">
        <f t="shared" si="10"/>
        <v>-59136.469999999972</v>
      </c>
      <c r="W45" s="113">
        <f t="shared" si="10"/>
        <v>0</v>
      </c>
      <c r="X45" s="113">
        <f t="shared" si="10"/>
        <v>-2677168.8800000018</v>
      </c>
      <c r="Y45" s="113">
        <f t="shared" si="10"/>
        <v>0</v>
      </c>
      <c r="Z45" s="113">
        <f t="shared" si="10"/>
        <v>0</v>
      </c>
      <c r="AA45" s="113">
        <f t="shared" si="10"/>
        <v>0</v>
      </c>
      <c r="AB45" s="113">
        <f t="shared" si="10"/>
        <v>0</v>
      </c>
      <c r="AC45" s="113">
        <f t="shared" si="10"/>
        <v>0</v>
      </c>
      <c r="AD45" s="113">
        <f t="shared" si="10"/>
        <v>0</v>
      </c>
      <c r="AE45" s="113">
        <f t="shared" si="10"/>
        <v>0</v>
      </c>
      <c r="AF45" s="113">
        <f t="shared" si="10"/>
        <v>18301.650000000023</v>
      </c>
      <c r="AG45" s="113">
        <f t="shared" si="10"/>
        <v>0</v>
      </c>
      <c r="AH45" s="113">
        <f t="shared" si="10"/>
        <v>0</v>
      </c>
      <c r="AI45" s="113">
        <f t="shared" si="10"/>
        <v>-18943.250000000466</v>
      </c>
      <c r="AJ45" s="113">
        <f t="shared" si="10"/>
        <v>-73198.000000000466</v>
      </c>
      <c r="AK45" s="113">
        <f t="shared" si="10"/>
        <v>27239.480000000098</v>
      </c>
      <c r="AL45" s="113">
        <f t="shared" si="10"/>
        <v>0</v>
      </c>
      <c r="AM45" s="113">
        <f t="shared" si="10"/>
        <v>467314.68000000017</v>
      </c>
      <c r="AN45" s="113">
        <f t="shared" si="10"/>
        <v>0</v>
      </c>
      <c r="AO45" s="113">
        <f t="shared" si="10"/>
        <v>0</v>
      </c>
      <c r="AP45" s="113">
        <f t="shared" si="10"/>
        <v>171344.34000000078</v>
      </c>
      <c r="AQ45" s="113">
        <f t="shared" si="10"/>
        <v>0</v>
      </c>
      <c r="AR45" s="113">
        <f t="shared" si="10"/>
        <v>-277298.86</v>
      </c>
      <c r="AS45" s="113">
        <f t="shared" si="10"/>
        <v>0</v>
      </c>
      <c r="AT45" s="113">
        <f t="shared" si="10"/>
        <v>-244645.2200000002</v>
      </c>
      <c r="AU45" s="113">
        <f t="shared" si="10"/>
        <v>-435217.71999999974</v>
      </c>
      <c r="AV45" s="113">
        <f t="shared" si="10"/>
        <v>28206.85999999987</v>
      </c>
      <c r="AW45" s="113">
        <f t="shared" si="10"/>
        <v>0</v>
      </c>
      <c r="AX45" s="113">
        <f t="shared" si="10"/>
        <v>-6331.1599999999162</v>
      </c>
      <c r="AY45" s="113">
        <f t="shared" si="10"/>
        <v>0</v>
      </c>
      <c r="AZ45" s="113">
        <f t="shared" si="10"/>
        <v>0</v>
      </c>
      <c r="BA45" s="113">
        <f t="shared" si="10"/>
        <v>-108852.27000000002</v>
      </c>
      <c r="BB45" s="113">
        <f t="shared" si="10"/>
        <v>-1619994.6499999464</v>
      </c>
      <c r="BC45" s="113">
        <f t="shared" si="10"/>
        <v>1568390.1700000018</v>
      </c>
      <c r="BD45" s="113">
        <f t="shared" si="10"/>
        <v>-2718003.700000003</v>
      </c>
      <c r="BE45" s="113">
        <f t="shared" si="10"/>
        <v>-470381.11999998987</v>
      </c>
    </row>
    <row r="46" spans="1:57" ht="16.5" customHeight="1" x14ac:dyDescent="0.3">
      <c r="A46" s="110"/>
      <c r="B46" s="8" t="s">
        <v>304</v>
      </c>
      <c r="C46" s="19">
        <f>C6+C10+C14+C18+C22+C26+C30+C34+C38+C42</f>
        <v>4173515.8</v>
      </c>
      <c r="D46" s="19">
        <f t="shared" ref="D46:BE46" si="11">D6+D10+D14+D18+D22+D26+D30+D34+D38+D42</f>
        <v>1084338.1300000001</v>
      </c>
      <c r="E46" s="19">
        <f t="shared" si="11"/>
        <v>1672456.3199999998</v>
      </c>
      <c r="F46" s="19">
        <f t="shared" si="11"/>
        <v>2125952.12</v>
      </c>
      <c r="G46" s="19">
        <f t="shared" si="11"/>
        <v>18735017.75</v>
      </c>
      <c r="H46" s="19">
        <f t="shared" si="11"/>
        <v>17339632.329999998</v>
      </c>
      <c r="I46" s="19">
        <f t="shared" si="11"/>
        <v>12693036.079999998</v>
      </c>
      <c r="J46" s="19">
        <f t="shared" si="11"/>
        <v>133727295.09</v>
      </c>
      <c r="K46" s="19">
        <f t="shared" si="11"/>
        <v>8368474.2599999998</v>
      </c>
      <c r="L46" s="19">
        <f t="shared" si="11"/>
        <v>527170.83000000007</v>
      </c>
      <c r="M46" s="135">
        <f t="shared" si="11"/>
        <v>29832198.780000001</v>
      </c>
      <c r="N46" s="19">
        <f t="shared" si="11"/>
        <v>2064231.6400000001</v>
      </c>
      <c r="O46" s="19">
        <f t="shared" si="11"/>
        <v>425935.31999999995</v>
      </c>
      <c r="P46" s="19">
        <f t="shared" si="11"/>
        <v>1894910.4700000002</v>
      </c>
      <c r="Q46" s="19">
        <f t="shared" si="11"/>
        <v>1492537.14</v>
      </c>
      <c r="R46" s="19">
        <f t="shared" si="11"/>
        <v>3407247.76</v>
      </c>
      <c r="S46" s="19">
        <f t="shared" si="11"/>
        <v>1044808.0999999999</v>
      </c>
      <c r="T46" s="19">
        <f t="shared" si="11"/>
        <v>2521272.54</v>
      </c>
      <c r="U46" s="19">
        <f t="shared" si="11"/>
        <v>14363786.189999999</v>
      </c>
      <c r="V46" s="19">
        <f t="shared" si="11"/>
        <v>1948357.5899999999</v>
      </c>
      <c r="W46" s="19">
        <f t="shared" si="11"/>
        <v>7336082.8700000001</v>
      </c>
      <c r="X46" s="19">
        <f t="shared" si="11"/>
        <v>17228348.16</v>
      </c>
      <c r="Y46" s="19">
        <f t="shared" si="11"/>
        <v>911904.16999999993</v>
      </c>
      <c r="Z46" s="19">
        <f t="shared" si="11"/>
        <v>2863669.55</v>
      </c>
      <c r="AA46" s="19">
        <f t="shared" si="11"/>
        <v>4074988.63</v>
      </c>
      <c r="AB46" s="19">
        <f t="shared" si="11"/>
        <v>2929096.8</v>
      </c>
      <c r="AC46" s="19">
        <f t="shared" si="11"/>
        <v>4369953.6899999995</v>
      </c>
      <c r="AD46" s="19">
        <f t="shared" si="11"/>
        <v>11607161.029999999</v>
      </c>
      <c r="AE46" s="19">
        <f t="shared" si="11"/>
        <v>13633060.380000001</v>
      </c>
      <c r="AF46" s="19">
        <f t="shared" si="11"/>
        <v>1134916.82</v>
      </c>
      <c r="AG46" s="19">
        <f t="shared" si="11"/>
        <v>701825.5</v>
      </c>
      <c r="AH46" s="19">
        <f t="shared" si="11"/>
        <v>8644578.9600000009</v>
      </c>
      <c r="AI46" s="19">
        <f t="shared" si="11"/>
        <v>6085480.7299999995</v>
      </c>
      <c r="AJ46" s="19">
        <f t="shared" si="11"/>
        <v>5408584.8600000013</v>
      </c>
      <c r="AK46" s="19">
        <f t="shared" si="11"/>
        <v>695123.13</v>
      </c>
      <c r="AL46" s="19">
        <f t="shared" si="11"/>
        <v>11303020.460000001</v>
      </c>
      <c r="AM46" s="19">
        <f t="shared" si="11"/>
        <v>4011231.75</v>
      </c>
      <c r="AN46" s="19">
        <f t="shared" si="11"/>
        <v>3163854.96</v>
      </c>
      <c r="AO46" s="19">
        <f t="shared" si="11"/>
        <v>6894605.9299999997</v>
      </c>
      <c r="AP46" s="19">
        <f t="shared" si="11"/>
        <v>3397143.0799999996</v>
      </c>
      <c r="AQ46" s="19">
        <f t="shared" si="11"/>
        <v>4942819.6700000009</v>
      </c>
      <c r="AR46" s="19">
        <f t="shared" si="11"/>
        <v>1557040.2899999998</v>
      </c>
      <c r="AS46" s="19">
        <f t="shared" si="11"/>
        <v>10886918.710000001</v>
      </c>
      <c r="AT46" s="19">
        <f t="shared" si="11"/>
        <v>3279950.1399999997</v>
      </c>
      <c r="AU46" s="19">
        <f t="shared" si="11"/>
        <v>1588481.9000000004</v>
      </c>
      <c r="AV46" s="19">
        <f t="shared" si="11"/>
        <v>1430764.3299999998</v>
      </c>
      <c r="AW46" s="19">
        <f t="shared" si="11"/>
        <v>7556366.6100000013</v>
      </c>
      <c r="AX46" s="19">
        <f t="shared" si="11"/>
        <v>1862055.7599999998</v>
      </c>
      <c r="AY46" s="19">
        <f t="shared" si="11"/>
        <v>6119362.1500000004</v>
      </c>
      <c r="AZ46" s="135">
        <f t="shared" si="11"/>
        <v>48133379.729999997</v>
      </c>
      <c r="BA46" s="19">
        <f t="shared" si="11"/>
        <v>2574378.96</v>
      </c>
      <c r="BB46" s="19">
        <f t="shared" si="11"/>
        <v>465768323.94999993</v>
      </c>
      <c r="BC46" s="19">
        <f t="shared" si="11"/>
        <v>257493816.64999998</v>
      </c>
      <c r="BD46" s="19">
        <f t="shared" si="11"/>
        <v>68739365.189999998</v>
      </c>
      <c r="BE46" s="19">
        <f t="shared" si="11"/>
        <v>139535142.10999998</v>
      </c>
    </row>
    <row r="47" spans="1:57" ht="16.5" customHeight="1" x14ac:dyDescent="0.3">
      <c r="A47" s="110"/>
      <c r="B47" s="8" t="s">
        <v>305</v>
      </c>
      <c r="C47" s="19">
        <f>C7+C11+C15+C19+C23+C27+C31+C35+C39+C43</f>
        <v>4173515.8</v>
      </c>
      <c r="D47" s="19">
        <f t="shared" ref="D47:BE47" si="12">D7+D11+D15+D19+D23+D27+D31+D35+D39+D43</f>
        <v>1250774.7000000002</v>
      </c>
      <c r="E47" s="19">
        <f t="shared" si="12"/>
        <v>1723517.38</v>
      </c>
      <c r="F47" s="19">
        <f t="shared" si="12"/>
        <v>2249327.85</v>
      </c>
      <c r="G47" s="19">
        <f t="shared" si="12"/>
        <v>18735017.75</v>
      </c>
      <c r="H47" s="19">
        <f t="shared" si="12"/>
        <v>17339632.330000002</v>
      </c>
      <c r="I47" s="19">
        <f t="shared" si="12"/>
        <v>12693036.079999998</v>
      </c>
      <c r="J47" s="19">
        <f t="shared" si="12"/>
        <v>131552933.48999999</v>
      </c>
      <c r="K47" s="19">
        <f t="shared" si="12"/>
        <v>8604959.4900000002</v>
      </c>
      <c r="L47" s="19">
        <f t="shared" si="12"/>
        <v>527170.82999999996</v>
      </c>
      <c r="M47" s="135">
        <f t="shared" si="12"/>
        <v>29832198.779999997</v>
      </c>
      <c r="N47" s="19">
        <f t="shared" si="12"/>
        <v>2064231.64</v>
      </c>
      <c r="O47" s="19">
        <f t="shared" si="12"/>
        <v>425935.32</v>
      </c>
      <c r="P47" s="19">
        <f t="shared" si="12"/>
        <v>1894910.47</v>
      </c>
      <c r="Q47" s="19">
        <f t="shared" si="12"/>
        <v>1492537.1400000001</v>
      </c>
      <c r="R47" s="19">
        <f t="shared" si="12"/>
        <v>3407247.76</v>
      </c>
      <c r="S47" s="19">
        <f t="shared" si="12"/>
        <v>1073420.94</v>
      </c>
      <c r="T47" s="19">
        <f t="shared" si="12"/>
        <v>2521272.54</v>
      </c>
      <c r="U47" s="19">
        <f t="shared" si="12"/>
        <v>14363786.190000001</v>
      </c>
      <c r="V47" s="19">
        <f t="shared" si="12"/>
        <v>2007494.06</v>
      </c>
      <c r="W47" s="19">
        <f t="shared" si="12"/>
        <v>7336082.8699999992</v>
      </c>
      <c r="X47" s="19">
        <f t="shared" si="12"/>
        <v>19905517.039999999</v>
      </c>
      <c r="Y47" s="19">
        <f t="shared" si="12"/>
        <v>911904.16999999993</v>
      </c>
      <c r="Z47" s="19">
        <f t="shared" si="12"/>
        <v>2863669.55</v>
      </c>
      <c r="AA47" s="19">
        <f t="shared" si="12"/>
        <v>4074988.63</v>
      </c>
      <c r="AB47" s="19">
        <f t="shared" si="12"/>
        <v>2929096.8</v>
      </c>
      <c r="AC47" s="19">
        <f t="shared" si="12"/>
        <v>4369953.6899999995</v>
      </c>
      <c r="AD47" s="19">
        <f t="shared" si="12"/>
        <v>11607161.029999999</v>
      </c>
      <c r="AE47" s="19">
        <f t="shared" si="12"/>
        <v>13633060.379999999</v>
      </c>
      <c r="AF47" s="19">
        <f t="shared" si="12"/>
        <v>1116615.17</v>
      </c>
      <c r="AG47" s="19">
        <f t="shared" si="12"/>
        <v>701825.5</v>
      </c>
      <c r="AH47" s="19">
        <f t="shared" si="12"/>
        <v>8644578.959999999</v>
      </c>
      <c r="AI47" s="19">
        <f t="shared" si="12"/>
        <v>6104423.9800000004</v>
      </c>
      <c r="AJ47" s="19">
        <f t="shared" si="12"/>
        <v>5481782.8599999994</v>
      </c>
      <c r="AK47" s="19">
        <f t="shared" si="12"/>
        <v>667883.64999999991</v>
      </c>
      <c r="AL47" s="19">
        <f t="shared" si="12"/>
        <v>11303020.459999999</v>
      </c>
      <c r="AM47" s="19">
        <f t="shared" si="12"/>
        <v>3543917.0700000003</v>
      </c>
      <c r="AN47" s="19">
        <f t="shared" si="12"/>
        <v>3163854.96</v>
      </c>
      <c r="AO47" s="19">
        <f t="shared" si="12"/>
        <v>6894605.9299999997</v>
      </c>
      <c r="AP47" s="19">
        <f t="shared" si="12"/>
        <v>3225798.7399999998</v>
      </c>
      <c r="AQ47" s="19">
        <f t="shared" si="12"/>
        <v>4942819.67</v>
      </c>
      <c r="AR47" s="19">
        <f t="shared" si="12"/>
        <v>1834339.15</v>
      </c>
      <c r="AS47" s="19">
        <f t="shared" si="12"/>
        <v>10886918.710000001</v>
      </c>
      <c r="AT47" s="19">
        <f t="shared" si="12"/>
        <v>3524595.3600000003</v>
      </c>
      <c r="AU47" s="19">
        <f t="shared" si="12"/>
        <v>2023699.62</v>
      </c>
      <c r="AV47" s="19">
        <f t="shared" si="12"/>
        <v>1402557.47</v>
      </c>
      <c r="AW47" s="19">
        <f t="shared" si="12"/>
        <v>7556366.6099999994</v>
      </c>
      <c r="AX47" s="19">
        <f t="shared" si="12"/>
        <v>1868386.92</v>
      </c>
      <c r="AY47" s="19">
        <f t="shared" si="12"/>
        <v>6119362.1500000004</v>
      </c>
      <c r="AZ47" s="135">
        <f t="shared" si="12"/>
        <v>48133379.730000004</v>
      </c>
      <c r="BA47" s="19">
        <f t="shared" si="12"/>
        <v>2683231.23</v>
      </c>
      <c r="BB47" s="19">
        <f t="shared" si="12"/>
        <v>467388318.60000002</v>
      </c>
      <c r="BC47" s="19">
        <f t="shared" si="12"/>
        <v>255925426.47999996</v>
      </c>
      <c r="BD47" s="19">
        <f t="shared" si="12"/>
        <v>71457368.890000001</v>
      </c>
      <c r="BE47" s="19">
        <f t="shared" si="12"/>
        <v>140005523.22999999</v>
      </c>
    </row>
    <row r="48" spans="1:57" ht="20.25" x14ac:dyDescent="0.3">
      <c r="A48" s="111"/>
      <c r="B48" s="111"/>
    </row>
    <row r="49" spans="1:2" ht="20.25" x14ac:dyDescent="0.3">
      <c r="A49" s="111"/>
      <c r="B49" s="111"/>
    </row>
    <row r="50" spans="1:2" ht="20.25" x14ac:dyDescent="0.3">
      <c r="A50" s="111"/>
      <c r="B50" s="111"/>
    </row>
    <row r="51" spans="1:2" ht="20.25" x14ac:dyDescent="0.3">
      <c r="A51" s="111"/>
      <c r="B51" s="111"/>
    </row>
    <row r="52" spans="1:2" ht="20.25" x14ac:dyDescent="0.3">
      <c r="A52" s="111"/>
      <c r="B52" s="111"/>
    </row>
    <row r="53" spans="1:2" ht="20.25" x14ac:dyDescent="0.3">
      <c r="A53" s="111"/>
      <c r="B53" s="111"/>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A3" sqref="A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2" t="s">
        <v>861</v>
      </c>
      <c r="B2" s="7"/>
    </row>
    <row r="4" spans="1:3" ht="15" thickBot="1" x14ac:dyDescent="0.25">
      <c r="B4" s="86" t="s">
        <v>581</v>
      </c>
    </row>
    <row r="5" spans="1:3" ht="15.75" thickBot="1" x14ac:dyDescent="0.3">
      <c r="B5" s="92" t="s">
        <v>55</v>
      </c>
    </row>
    <row r="7" spans="1:3" ht="15" x14ac:dyDescent="0.25">
      <c r="C7" s="30" t="s">
        <v>198</v>
      </c>
    </row>
    <row r="8" spans="1:3" ht="15" x14ac:dyDescent="0.25">
      <c r="A8" s="106">
        <v>0</v>
      </c>
      <c r="B8" s="85" t="s">
        <v>294</v>
      </c>
      <c r="C8" s="107">
        <f>C9-C10</f>
        <v>380092.83</v>
      </c>
    </row>
    <row r="9" spans="1:3" ht="15" x14ac:dyDescent="0.25">
      <c r="A9" s="108"/>
      <c r="B9" s="8" t="s">
        <v>304</v>
      </c>
      <c r="C9" s="13">
        <f>HLOOKUP($B$5,'4.11 Comptes 2023 fonctionnelle'!$C$4:$BA$48,3,0)</f>
        <v>394932.9</v>
      </c>
    </row>
    <row r="10" spans="1:3" ht="15" x14ac:dyDescent="0.25">
      <c r="A10" s="108"/>
      <c r="B10" s="8" t="s">
        <v>305</v>
      </c>
      <c r="C10" s="13">
        <f>HLOOKUP($B$5,'4.11 Comptes 2023 fonctionnelle'!$C$4:$BA$48,4,0)</f>
        <v>14840.07</v>
      </c>
    </row>
    <row r="11" spans="1:3" ht="15" x14ac:dyDescent="0.25">
      <c r="A11" s="30"/>
      <c r="B11" s="7"/>
      <c r="C11" s="13"/>
    </row>
    <row r="12" spans="1:3" ht="15" x14ac:dyDescent="0.25">
      <c r="A12" s="106" t="s">
        <v>295</v>
      </c>
      <c r="B12" s="85" t="s">
        <v>296</v>
      </c>
      <c r="C12" s="107">
        <f>C13-C14</f>
        <v>24918.490000000005</v>
      </c>
    </row>
    <row r="13" spans="1:3" ht="15" x14ac:dyDescent="0.25">
      <c r="A13" s="108"/>
      <c r="B13" s="8" t="s">
        <v>304</v>
      </c>
      <c r="C13" s="13">
        <f>HLOOKUP($B$5,'4.11 Comptes 2023 fonctionnelle'!$C$4:$BA$48,7,0)</f>
        <v>78104.600000000006</v>
      </c>
    </row>
    <row r="14" spans="1:3" ht="15" x14ac:dyDescent="0.25">
      <c r="A14" s="108"/>
      <c r="B14" s="8" t="s">
        <v>305</v>
      </c>
      <c r="C14" s="13">
        <f>HLOOKUP($B$5,'4.11 Comptes 2023 fonctionnelle'!$C$4:$BA$48,8,0)</f>
        <v>53186.11</v>
      </c>
    </row>
    <row r="15" spans="1:3" ht="15" x14ac:dyDescent="0.25">
      <c r="A15" s="30"/>
      <c r="B15" s="7"/>
      <c r="C15" s="13"/>
    </row>
    <row r="16" spans="1:3" ht="15" x14ac:dyDescent="0.25">
      <c r="A16" s="109">
        <v>2</v>
      </c>
      <c r="B16" s="85" t="s">
        <v>297</v>
      </c>
      <c r="C16" s="107">
        <f>C17-C18</f>
        <v>1344980.25</v>
      </c>
    </row>
    <row r="17" spans="1:3" ht="15" x14ac:dyDescent="0.25">
      <c r="A17" s="30"/>
      <c r="B17" s="8" t="s">
        <v>304</v>
      </c>
      <c r="C17" s="13">
        <f>HLOOKUP($B$5,'4.11 Comptes 2023 fonctionnelle'!$C$4:$BA$48,11,0)</f>
        <v>1379981.55</v>
      </c>
    </row>
    <row r="18" spans="1:3" ht="15" x14ac:dyDescent="0.25">
      <c r="A18" s="30"/>
      <c r="B18" s="8" t="s">
        <v>305</v>
      </c>
      <c r="C18" s="13">
        <f>HLOOKUP($B$5,'4.11 Comptes 2023 fonctionnelle'!$C$4:$BA$48,12,0)</f>
        <v>35001.300000000003</v>
      </c>
    </row>
    <row r="19" spans="1:3" ht="15" x14ac:dyDescent="0.25">
      <c r="A19" s="30"/>
      <c r="B19" s="7"/>
      <c r="C19" s="13"/>
    </row>
    <row r="20" spans="1:3" ht="15" x14ac:dyDescent="0.25">
      <c r="A20" s="109">
        <v>3</v>
      </c>
      <c r="B20" s="85" t="s">
        <v>298</v>
      </c>
      <c r="C20" s="107">
        <f>C21-C22</f>
        <v>31200.65</v>
      </c>
    </row>
    <row r="21" spans="1:3" ht="15" x14ac:dyDescent="0.25">
      <c r="A21" s="30"/>
      <c r="B21" s="8" t="s">
        <v>304</v>
      </c>
      <c r="C21" s="13">
        <f>HLOOKUP($B$5,'4.11 Comptes 2023 fonctionnelle'!$C$4:$BA$48,15,0)</f>
        <v>34200.65</v>
      </c>
    </row>
    <row r="22" spans="1:3" ht="15" x14ac:dyDescent="0.25">
      <c r="A22" s="30"/>
      <c r="B22" s="8" t="s">
        <v>305</v>
      </c>
      <c r="C22" s="13">
        <f>HLOOKUP($B$5,'4.11 Comptes 2023 fonctionnelle'!$C$4:$BA$48,16,0)</f>
        <v>3000</v>
      </c>
    </row>
    <row r="23" spans="1:3" ht="15" x14ac:dyDescent="0.25">
      <c r="A23" s="30"/>
      <c r="B23" s="7"/>
      <c r="C23" s="13"/>
    </row>
    <row r="24" spans="1:3" ht="15" x14ac:dyDescent="0.25">
      <c r="A24" s="109">
        <v>4</v>
      </c>
      <c r="B24" s="85" t="s">
        <v>299</v>
      </c>
      <c r="C24" s="107">
        <f>C25-C26</f>
        <v>4669.01</v>
      </c>
    </row>
    <row r="25" spans="1:3" ht="15" x14ac:dyDescent="0.25">
      <c r="A25" s="30"/>
      <c r="B25" s="8" t="s">
        <v>304</v>
      </c>
      <c r="C25" s="13">
        <f>HLOOKUP($B$5,'4.11 Comptes 2023 fonctionnelle'!$C$4:$BA$48,19,0)</f>
        <v>4669.01</v>
      </c>
    </row>
    <row r="26" spans="1:3" ht="15" x14ac:dyDescent="0.25">
      <c r="A26" s="30"/>
      <c r="B26" s="8" t="s">
        <v>305</v>
      </c>
      <c r="C26" s="13">
        <f>HLOOKUP($B$5,'4.11 Comptes 2023 fonctionnelle'!$C$4:$BA$48,20,0)</f>
        <v>0</v>
      </c>
    </row>
    <row r="27" spans="1:3" ht="15" x14ac:dyDescent="0.25">
      <c r="A27" s="30"/>
      <c r="B27" s="7"/>
      <c r="C27" s="13"/>
    </row>
    <row r="28" spans="1:3" ht="15" x14ac:dyDescent="0.25">
      <c r="A28" s="109">
        <v>5</v>
      </c>
      <c r="B28" s="85" t="s">
        <v>300</v>
      </c>
      <c r="C28" s="107">
        <f>C29-C30</f>
        <v>691232</v>
      </c>
    </row>
    <row r="29" spans="1:3" ht="15" x14ac:dyDescent="0.25">
      <c r="A29" s="30"/>
      <c r="B29" s="8" t="s">
        <v>304</v>
      </c>
      <c r="C29" s="13">
        <f>HLOOKUP($B$5,'4.11 Comptes 2023 fonctionnelle'!$C$4:$BA$48,23,0)</f>
        <v>950757.15</v>
      </c>
    </row>
    <row r="30" spans="1:3" ht="15" x14ac:dyDescent="0.25">
      <c r="A30" s="30"/>
      <c r="B30" s="8" t="s">
        <v>305</v>
      </c>
      <c r="C30" s="13">
        <f>HLOOKUP($B$5,'4.11 Comptes 2023 fonctionnelle'!$C$4:$BA$48,24,0)</f>
        <v>259525.15</v>
      </c>
    </row>
    <row r="31" spans="1:3" ht="15" x14ac:dyDescent="0.25">
      <c r="A31" s="30"/>
      <c r="B31" s="7"/>
      <c r="C31" s="13"/>
    </row>
    <row r="32" spans="1:3" ht="15" x14ac:dyDescent="0.25">
      <c r="A32" s="109">
        <v>6</v>
      </c>
      <c r="B32" s="85" t="s">
        <v>828</v>
      </c>
      <c r="C32" s="107">
        <f>C33-C34</f>
        <v>292434.75</v>
      </c>
    </row>
    <row r="33" spans="1:3" ht="15" x14ac:dyDescent="0.25">
      <c r="A33" s="30"/>
      <c r="B33" s="8" t="s">
        <v>304</v>
      </c>
      <c r="C33" s="13">
        <f>HLOOKUP($B$5,'4.11 Comptes 2023 fonctionnelle'!$C$4:$BA$48,27,0)</f>
        <v>377802.35</v>
      </c>
    </row>
    <row r="34" spans="1:3" ht="15" x14ac:dyDescent="0.25">
      <c r="A34" s="30"/>
      <c r="B34" s="8" t="s">
        <v>305</v>
      </c>
      <c r="C34" s="13">
        <f>HLOOKUP($B$5,'4.11 Comptes 2023 fonctionnelle'!$C$4:$BA$48,28,0)</f>
        <v>85367.6</v>
      </c>
    </row>
    <row r="35" spans="1:3" ht="15" x14ac:dyDescent="0.25">
      <c r="A35" s="30"/>
      <c r="B35" s="7"/>
      <c r="C35" s="13"/>
    </row>
    <row r="36" spans="1:3" ht="15" x14ac:dyDescent="0.25">
      <c r="A36" s="109">
        <v>7</v>
      </c>
      <c r="B36" s="85" t="s">
        <v>301</v>
      </c>
      <c r="C36" s="107">
        <f>C37-C38</f>
        <v>-270619.98000000004</v>
      </c>
    </row>
    <row r="37" spans="1:3" ht="15" x14ac:dyDescent="0.25">
      <c r="A37" s="30"/>
      <c r="B37" s="8" t="s">
        <v>304</v>
      </c>
      <c r="C37" s="13">
        <f>HLOOKUP($B$5,'4.11 Comptes 2023 fonctionnelle'!$C$4:$BA$48,31,0)</f>
        <v>467769.92</v>
      </c>
    </row>
    <row r="38" spans="1:3" ht="15" x14ac:dyDescent="0.25">
      <c r="A38" s="30"/>
      <c r="B38" s="8" t="s">
        <v>305</v>
      </c>
      <c r="C38" s="13">
        <f>HLOOKUP($B$5,'4.11 Comptes 2023 fonctionnelle'!$C$4:$BA$48,32,0)</f>
        <v>738389.9</v>
      </c>
    </row>
    <row r="39" spans="1:3" ht="15" x14ac:dyDescent="0.25">
      <c r="A39" s="30"/>
      <c r="B39" s="7"/>
      <c r="C39" s="13"/>
    </row>
    <row r="40" spans="1:3" ht="15" x14ac:dyDescent="0.25">
      <c r="A40" s="109">
        <v>8</v>
      </c>
      <c r="B40" s="85" t="s">
        <v>302</v>
      </c>
      <c r="C40" s="107">
        <f>C41-C42</f>
        <v>4318.5</v>
      </c>
    </row>
    <row r="41" spans="1:3" ht="15" x14ac:dyDescent="0.25">
      <c r="A41" s="30"/>
      <c r="B41" s="8" t="s">
        <v>304</v>
      </c>
      <c r="C41" s="13">
        <f>HLOOKUP($B$5,'4.11 Comptes 2023 fonctionnelle'!$C$4:$BA$48,35,0)</f>
        <v>26763.25</v>
      </c>
    </row>
    <row r="42" spans="1:3" ht="15" x14ac:dyDescent="0.25">
      <c r="A42" s="30"/>
      <c r="B42" s="8" t="s">
        <v>305</v>
      </c>
      <c r="C42" s="13">
        <f>HLOOKUP($B$5,'4.11 Comptes 2023 fonctionnelle'!$C$4:$BA$48,36,0)</f>
        <v>22444.75</v>
      </c>
    </row>
    <row r="43" spans="1:3" ht="15" x14ac:dyDescent="0.25">
      <c r="A43" s="30"/>
      <c r="B43" s="7"/>
      <c r="C43" s="13"/>
    </row>
    <row r="44" spans="1:3" ht="15" x14ac:dyDescent="0.25">
      <c r="A44" s="109">
        <v>9</v>
      </c>
      <c r="B44" s="85" t="s">
        <v>303</v>
      </c>
      <c r="C44" s="107">
        <f>C45-C46</f>
        <v>-2503226.5</v>
      </c>
    </row>
    <row r="45" spans="1:3" ht="15" customHeight="1" x14ac:dyDescent="0.3">
      <c r="A45" s="110"/>
      <c r="B45" s="8" t="s">
        <v>304</v>
      </c>
      <c r="C45" s="13">
        <f>HLOOKUP($B$5,'4.11 Comptes 2023 fonctionnelle'!$C$4:$BA$48,39,0)</f>
        <v>458534.42</v>
      </c>
    </row>
    <row r="46" spans="1:3" ht="15" customHeight="1" x14ac:dyDescent="0.3">
      <c r="A46" s="110"/>
      <c r="B46" s="8" t="s">
        <v>305</v>
      </c>
      <c r="C46" s="13">
        <f>HLOOKUP($B$5,'4.11 Comptes 2023 fonctionnelle'!$C$4:$BA$48,40,0)</f>
        <v>2961760.92</v>
      </c>
    </row>
    <row r="47" spans="1:3" ht="20.25" x14ac:dyDescent="0.3">
      <c r="A47" s="110"/>
      <c r="B47" s="111"/>
      <c r="C47" s="13"/>
    </row>
    <row r="48" spans="1:3" ht="15" x14ac:dyDescent="0.25">
      <c r="A48" s="109"/>
      <c r="B48" s="85" t="s">
        <v>720</v>
      </c>
      <c r="C48" s="113">
        <f>C49-C50</f>
        <v>0</v>
      </c>
    </row>
    <row r="49" spans="1:3" ht="20.25" x14ac:dyDescent="0.3">
      <c r="A49" s="110"/>
      <c r="B49" s="8" t="s">
        <v>304</v>
      </c>
      <c r="C49" s="13">
        <f>HLOOKUP($B$5,'4.11 Comptes 2023 fonctionnelle'!$C$4:$BA$48,43,0)</f>
        <v>4173515.8</v>
      </c>
    </row>
    <row r="50" spans="1:3" ht="20.25" x14ac:dyDescent="0.3">
      <c r="A50" s="110"/>
      <c r="B50" s="8" t="s">
        <v>305</v>
      </c>
      <c r="C50" s="13">
        <f>HLOOKUP($B$5,'4.11 Comptes 2023 fonctionnelle'!$C$4:$BA$48,44,0)</f>
        <v>4173515.8</v>
      </c>
    </row>
    <row r="51" spans="1:3" ht="20.25" x14ac:dyDescent="0.3">
      <c r="A51" s="111"/>
      <c r="B51" s="111"/>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2023 fonctionnelle'!$C$4:$BA$4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4" workbookViewId="0">
      <selection activeCell="A3" sqref="A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2" t="s">
        <v>862</v>
      </c>
    </row>
    <row r="5" spans="1:3" ht="15" x14ac:dyDescent="0.25">
      <c r="A5" s="7" t="s">
        <v>195</v>
      </c>
    </row>
    <row r="7" spans="1:3" ht="16.5" customHeight="1" x14ac:dyDescent="0.25">
      <c r="A7" s="106">
        <v>0</v>
      </c>
      <c r="B7" s="85" t="s">
        <v>294</v>
      </c>
      <c r="C7" s="107">
        <f>'4.11 Comptes 2023 fonctionnelle'!BB5</f>
        <v>29880030.930000003</v>
      </c>
    </row>
    <row r="8" spans="1:3" ht="16.5" customHeight="1" x14ac:dyDescent="0.25">
      <c r="A8" s="108"/>
      <c r="B8" s="8" t="s">
        <v>304</v>
      </c>
      <c r="C8" s="13">
        <f>'4.11 Comptes 2023 fonctionnelle'!BB6</f>
        <v>33904583.279999986</v>
      </c>
    </row>
    <row r="9" spans="1:3" ht="16.5" customHeight="1" x14ac:dyDescent="0.25">
      <c r="A9" s="108"/>
      <c r="B9" s="8" t="s">
        <v>305</v>
      </c>
      <c r="C9" s="13">
        <f>'4.11 Comptes 2023 fonctionnelle'!BB7</f>
        <v>4024552.3500000015</v>
      </c>
    </row>
    <row r="10" spans="1:3" ht="16.5" customHeight="1" x14ac:dyDescent="0.25">
      <c r="A10" s="30"/>
      <c r="B10" s="7"/>
    </row>
    <row r="11" spans="1:3" ht="16.5" customHeight="1" x14ac:dyDescent="0.25">
      <c r="A11" s="106" t="s">
        <v>295</v>
      </c>
      <c r="B11" s="85" t="s">
        <v>296</v>
      </c>
      <c r="C11" s="107">
        <f>'4.11 Comptes 2023 fonctionnelle'!BB9</f>
        <v>3084387.7499999977</v>
      </c>
    </row>
    <row r="12" spans="1:3" ht="16.5" customHeight="1" x14ac:dyDescent="0.25">
      <c r="A12" s="108"/>
      <c r="B12" s="8" t="s">
        <v>304</v>
      </c>
      <c r="C12" s="13">
        <f>'4.11 Comptes 2023 fonctionnelle'!BB10</f>
        <v>11534938.009999996</v>
      </c>
    </row>
    <row r="13" spans="1:3" ht="16.5" customHeight="1" x14ac:dyDescent="0.25">
      <c r="A13" s="108"/>
      <c r="B13" s="8" t="s">
        <v>305</v>
      </c>
      <c r="C13" s="13">
        <f>'4.11 Comptes 2023 fonctionnelle'!BB11</f>
        <v>8450550.2599999998</v>
      </c>
    </row>
    <row r="14" spans="1:3" ht="16.5" customHeight="1" x14ac:dyDescent="0.25">
      <c r="A14" s="30"/>
      <c r="B14" s="7"/>
    </row>
    <row r="15" spans="1:3" ht="16.5" customHeight="1" x14ac:dyDescent="0.25">
      <c r="A15" s="109">
        <v>2</v>
      </c>
      <c r="B15" s="85" t="s">
        <v>297</v>
      </c>
      <c r="C15" s="107">
        <f>'4.11 Comptes 2023 fonctionnelle'!BB13</f>
        <v>100110537.68999998</v>
      </c>
    </row>
    <row r="16" spans="1:3" ht="16.5" customHeight="1" x14ac:dyDescent="0.25">
      <c r="A16" s="30"/>
      <c r="B16" s="8" t="s">
        <v>304</v>
      </c>
      <c r="C16" s="13">
        <f>'4.11 Comptes 2023 fonctionnelle'!BB14</f>
        <v>106961304.09999999</v>
      </c>
    </row>
    <row r="17" spans="1:3" ht="16.5" customHeight="1" x14ac:dyDescent="0.25">
      <c r="A17" s="30"/>
      <c r="B17" s="8" t="s">
        <v>305</v>
      </c>
      <c r="C17" s="13">
        <f>'4.11 Comptes 2023 fonctionnelle'!BB15</f>
        <v>6850766.4099999983</v>
      </c>
    </row>
    <row r="18" spans="1:3" ht="16.5" customHeight="1" x14ac:dyDescent="0.25">
      <c r="A18" s="30"/>
      <c r="B18" s="7"/>
    </row>
    <row r="19" spans="1:3" ht="16.5" customHeight="1" x14ac:dyDescent="0.25">
      <c r="A19" s="109">
        <v>3</v>
      </c>
      <c r="B19" s="85" t="s">
        <v>298</v>
      </c>
      <c r="C19" s="107">
        <f>'4.11 Comptes 2023 fonctionnelle'!BB17</f>
        <v>15182723.200000005</v>
      </c>
    </row>
    <row r="20" spans="1:3" ht="16.5" customHeight="1" x14ac:dyDescent="0.25">
      <c r="A20" s="30"/>
      <c r="B20" s="8" t="s">
        <v>304</v>
      </c>
      <c r="C20" s="13">
        <f>'4.11 Comptes 2023 fonctionnelle'!BB18</f>
        <v>17188410.420000006</v>
      </c>
    </row>
    <row r="21" spans="1:3" ht="16.5" customHeight="1" x14ac:dyDescent="0.25">
      <c r="A21" s="30"/>
      <c r="B21" s="8" t="s">
        <v>305</v>
      </c>
      <c r="C21" s="13">
        <f>'4.11 Comptes 2023 fonctionnelle'!BB19</f>
        <v>2005687.22</v>
      </c>
    </row>
    <row r="22" spans="1:3" ht="16.5" customHeight="1" x14ac:dyDescent="0.25">
      <c r="A22" s="30"/>
      <c r="B22" s="7"/>
      <c r="C22" s="13"/>
    </row>
    <row r="23" spans="1:3" ht="16.5" customHeight="1" x14ac:dyDescent="0.25">
      <c r="A23" s="109">
        <v>4</v>
      </c>
      <c r="B23" s="85" t="s">
        <v>299</v>
      </c>
      <c r="C23" s="107">
        <f>'4.11 Comptes 2023 fonctionnelle'!BB21</f>
        <v>654855.0399999998</v>
      </c>
    </row>
    <row r="24" spans="1:3" ht="16.5" customHeight="1" x14ac:dyDescent="0.25">
      <c r="A24" s="30"/>
      <c r="B24" s="8" t="s">
        <v>304</v>
      </c>
      <c r="C24" s="13">
        <f>'4.11 Comptes 2023 fonctionnelle'!BB22</f>
        <v>666912.5399999998</v>
      </c>
    </row>
    <row r="25" spans="1:3" ht="16.5" customHeight="1" x14ac:dyDescent="0.25">
      <c r="A25" s="30"/>
      <c r="B25" s="8" t="s">
        <v>305</v>
      </c>
      <c r="C25" s="13">
        <f>'4.11 Comptes 2023 fonctionnelle'!BB23</f>
        <v>12057.5</v>
      </c>
    </row>
    <row r="26" spans="1:3" ht="16.5" customHeight="1" x14ac:dyDescent="0.25">
      <c r="A26" s="30"/>
      <c r="B26" s="7"/>
      <c r="C26" s="13"/>
    </row>
    <row r="27" spans="1:3" ht="16.5" customHeight="1" x14ac:dyDescent="0.25">
      <c r="A27" s="109">
        <v>5</v>
      </c>
      <c r="B27" s="85" t="s">
        <v>300</v>
      </c>
      <c r="C27" s="107">
        <f>'4.11 Comptes 2023 fonctionnelle'!BB25</f>
        <v>62246601.490000017</v>
      </c>
    </row>
    <row r="28" spans="1:3" ht="16.5" customHeight="1" x14ac:dyDescent="0.25">
      <c r="A28" s="30"/>
      <c r="B28" s="8" t="s">
        <v>304</v>
      </c>
      <c r="C28" s="13">
        <f>'4.11 Comptes 2023 fonctionnelle'!BB26</f>
        <v>99690307.480000004</v>
      </c>
    </row>
    <row r="29" spans="1:3" ht="16.5" customHeight="1" x14ac:dyDescent="0.25">
      <c r="A29" s="30"/>
      <c r="B29" s="8" t="s">
        <v>305</v>
      </c>
      <c r="C29" s="13">
        <f>'4.11 Comptes 2023 fonctionnelle'!BB27</f>
        <v>37443705.99000001</v>
      </c>
    </row>
    <row r="30" spans="1:3" ht="16.5" customHeight="1" x14ac:dyDescent="0.25">
      <c r="A30" s="30"/>
      <c r="B30" s="7"/>
      <c r="C30" s="13"/>
    </row>
    <row r="31" spans="1:3" ht="16.5" customHeight="1" x14ac:dyDescent="0.25">
      <c r="A31" s="109">
        <v>6</v>
      </c>
      <c r="B31" s="85" t="s">
        <v>828</v>
      </c>
      <c r="C31" s="107">
        <f>'4.11 Comptes 2023 fonctionnelle'!BB29</f>
        <v>20382282.310000002</v>
      </c>
    </row>
    <row r="32" spans="1:3" ht="16.5" customHeight="1" x14ac:dyDescent="0.25">
      <c r="A32" s="30"/>
      <c r="B32" s="8" t="s">
        <v>304</v>
      </c>
      <c r="C32" s="13">
        <f>'4.11 Comptes 2023 fonctionnelle'!BB30</f>
        <v>28783802.080000002</v>
      </c>
    </row>
    <row r="33" spans="1:3" ht="16.5" customHeight="1" x14ac:dyDescent="0.25">
      <c r="A33" s="30"/>
      <c r="B33" s="8" t="s">
        <v>305</v>
      </c>
      <c r="C33" s="13">
        <f>'4.11 Comptes 2023 fonctionnelle'!BB31</f>
        <v>8401519.7700000014</v>
      </c>
    </row>
    <row r="34" spans="1:3" ht="16.5" customHeight="1" x14ac:dyDescent="0.25">
      <c r="A34" s="30"/>
      <c r="B34" s="7"/>
      <c r="C34" s="13"/>
    </row>
    <row r="35" spans="1:3" ht="16.5" customHeight="1" x14ac:dyDescent="0.25">
      <c r="A35" s="109">
        <v>7</v>
      </c>
      <c r="B35" s="85" t="s">
        <v>301</v>
      </c>
      <c r="C35" s="107">
        <f>'4.11 Comptes 2023 fonctionnelle'!BB33</f>
        <v>-195724.60000000062</v>
      </c>
    </row>
    <row r="36" spans="1:3" ht="16.5" customHeight="1" x14ac:dyDescent="0.25">
      <c r="A36" s="30"/>
      <c r="B36" s="8" t="s">
        <v>304</v>
      </c>
      <c r="C36" s="13">
        <f>'4.11 Comptes 2023 fonctionnelle'!BB34</f>
        <v>47814139.019999996</v>
      </c>
    </row>
    <row r="37" spans="1:3" ht="16.5" customHeight="1" x14ac:dyDescent="0.25">
      <c r="A37" s="30"/>
      <c r="B37" s="8" t="s">
        <v>305</v>
      </c>
      <c r="C37" s="13">
        <f>'4.11 Comptes 2023 fonctionnelle'!BB35</f>
        <v>48009863.620000005</v>
      </c>
    </row>
    <row r="38" spans="1:3" ht="16.5" customHeight="1" x14ac:dyDescent="0.25">
      <c r="A38" s="30"/>
      <c r="B38" s="7"/>
      <c r="C38" s="13"/>
    </row>
    <row r="39" spans="1:3" ht="16.5" customHeight="1" x14ac:dyDescent="0.25">
      <c r="A39" s="109">
        <v>8</v>
      </c>
      <c r="B39" s="85" t="s">
        <v>302</v>
      </c>
      <c r="C39" s="107">
        <f>'4.11 Comptes 2023 fonctionnelle'!BB37</f>
        <v>214563.01000000461</v>
      </c>
    </row>
    <row r="40" spans="1:3" ht="16.5" customHeight="1" x14ac:dyDescent="0.25">
      <c r="A40" s="30"/>
      <c r="B40" s="8" t="s">
        <v>304</v>
      </c>
      <c r="C40" s="13">
        <f>'4.11 Comptes 2023 fonctionnelle'!BB38</f>
        <v>60839225.190000013</v>
      </c>
    </row>
    <row r="41" spans="1:3" ht="16.5" customHeight="1" x14ac:dyDescent="0.25">
      <c r="A41" s="30"/>
      <c r="B41" s="8" t="s">
        <v>305</v>
      </c>
      <c r="C41" s="13">
        <f>'4.11 Comptes 2023 fonctionnelle'!BB39</f>
        <v>60624662.179999985</v>
      </c>
    </row>
    <row r="42" spans="1:3" ht="16.5" customHeight="1" x14ac:dyDescent="0.25">
      <c r="A42" s="30"/>
      <c r="B42" s="7"/>
      <c r="C42" s="13"/>
    </row>
    <row r="43" spans="1:3" ht="16.5" customHeight="1" x14ac:dyDescent="0.25">
      <c r="A43" s="109">
        <v>9</v>
      </c>
      <c r="B43" s="85" t="s">
        <v>303</v>
      </c>
      <c r="C43" s="107">
        <f>'4.11 Comptes 2023 fonctionnelle'!BB41</f>
        <v>-233180251.46999994</v>
      </c>
    </row>
    <row r="44" spans="1:3" ht="16.5" customHeight="1" x14ac:dyDescent="0.3">
      <c r="A44" s="110"/>
      <c r="B44" s="8" t="s">
        <v>304</v>
      </c>
      <c r="C44" s="13">
        <f>'4.11 Comptes 2023 fonctionnelle'!BB42</f>
        <v>58384701.829999991</v>
      </c>
    </row>
    <row r="45" spans="1:3" ht="16.5" customHeight="1" x14ac:dyDescent="0.3">
      <c r="A45" s="110"/>
      <c r="B45" s="8" t="s">
        <v>305</v>
      </c>
      <c r="C45" s="13">
        <f>'4.11 Comptes 2023 fonctionnelle'!BB43</f>
        <v>291564953.30000007</v>
      </c>
    </row>
    <row r="46" spans="1:3" ht="16.5" customHeight="1" x14ac:dyDescent="0.3">
      <c r="A46" s="110"/>
      <c r="B46" s="111"/>
      <c r="C46" s="13"/>
    </row>
    <row r="47" spans="1:3" ht="16.5" customHeight="1" x14ac:dyDescent="0.25">
      <c r="A47" s="109"/>
      <c r="B47" s="85" t="s">
        <v>306</v>
      </c>
      <c r="C47" s="107">
        <f>'4.11 Comptes 2023 fonctionnelle'!BB45</f>
        <v>-1619994.6499999464</v>
      </c>
    </row>
    <row r="48" spans="1:3" ht="16.5" customHeight="1" x14ac:dyDescent="0.3">
      <c r="A48" s="110"/>
      <c r="B48" s="8" t="s">
        <v>304</v>
      </c>
      <c r="C48" s="13">
        <f>'4.11 Comptes 2023 fonctionnelle'!BB46</f>
        <v>465768323.94999993</v>
      </c>
    </row>
    <row r="49" spans="1:3" ht="16.5" customHeight="1" x14ac:dyDescent="0.3">
      <c r="A49" s="110"/>
      <c r="B49" s="8" t="s">
        <v>305</v>
      </c>
      <c r="C49" s="13">
        <f>'4.11 Comptes 2023 fonctionnelle'!BB47</f>
        <v>467388318.60000002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8" zoomScale="115" zoomScaleNormal="115" workbookViewId="0">
      <selection activeCell="A3" sqref="A3"/>
    </sheetView>
  </sheetViews>
  <sheetFormatPr baseColWidth="10" defaultRowHeight="15" x14ac:dyDescent="0.25"/>
  <cols>
    <col min="1" max="1" width="57" customWidth="1"/>
    <col min="2" max="2" width="22.85546875" customWidth="1"/>
  </cols>
  <sheetData>
    <row r="1" spans="1:2" x14ac:dyDescent="0.25">
      <c r="A1" s="4" t="s">
        <v>59</v>
      </c>
      <c r="B1" s="2"/>
    </row>
    <row r="2" spans="1:2" x14ac:dyDescent="0.25">
      <c r="A2" s="5" t="s">
        <v>759</v>
      </c>
      <c r="B2" s="2">
        <f>'Tableau fonctionnelle'!C8</f>
        <v>33904583.279999986</v>
      </c>
    </row>
    <row r="3" spans="1:2" x14ac:dyDescent="0.25">
      <c r="A3" s="5" t="s">
        <v>760</v>
      </c>
      <c r="B3" s="2">
        <f>'Tableau fonctionnelle'!C12</f>
        <v>11534938.009999996</v>
      </c>
    </row>
    <row r="4" spans="1:2" x14ac:dyDescent="0.25">
      <c r="A4" s="5" t="s">
        <v>761</v>
      </c>
      <c r="B4" s="2">
        <f>'Tableau fonctionnelle'!C16</f>
        <v>106961304.09999999</v>
      </c>
    </row>
    <row r="5" spans="1:2" x14ac:dyDescent="0.25">
      <c r="A5" s="5" t="s">
        <v>762</v>
      </c>
      <c r="B5" s="2">
        <f>'Tableau fonctionnelle'!C20</f>
        <v>17188410.420000006</v>
      </c>
    </row>
    <row r="6" spans="1:2" x14ac:dyDescent="0.25">
      <c r="A6" s="5" t="s">
        <v>763</v>
      </c>
      <c r="B6" s="2">
        <f>'Tableau fonctionnelle'!C24</f>
        <v>666912.5399999998</v>
      </c>
    </row>
    <row r="7" spans="1:2" x14ac:dyDescent="0.25">
      <c r="A7" s="5" t="s">
        <v>764</v>
      </c>
      <c r="B7" s="2">
        <f>'Tableau fonctionnelle'!C28</f>
        <v>99690307.480000004</v>
      </c>
    </row>
    <row r="8" spans="1:2" x14ac:dyDescent="0.25">
      <c r="A8" s="5" t="s">
        <v>870</v>
      </c>
      <c r="B8" s="2">
        <f>'Tableau fonctionnelle'!C32</f>
        <v>28783802.080000002</v>
      </c>
    </row>
    <row r="9" spans="1:2" x14ac:dyDescent="0.25">
      <c r="A9" s="5" t="s">
        <v>765</v>
      </c>
      <c r="B9" s="2">
        <f>'Tableau fonctionnelle'!C36</f>
        <v>47814139.019999996</v>
      </c>
    </row>
    <row r="10" spans="1:2" x14ac:dyDescent="0.25">
      <c r="A10" s="5" t="s">
        <v>766</v>
      </c>
      <c r="B10" s="2">
        <f>'Tableau fonctionnelle'!C40</f>
        <v>60839225.190000013</v>
      </c>
    </row>
    <row r="11" spans="1:2" x14ac:dyDescent="0.25">
      <c r="A11" s="5" t="s">
        <v>767</v>
      </c>
      <c r="B11" s="2">
        <f>'Tableau fonctionnelle'!C44</f>
        <v>58384701.829999991</v>
      </c>
    </row>
    <row r="12" spans="1:2" x14ac:dyDescent="0.25">
      <c r="B12" s="2"/>
    </row>
    <row r="13" spans="1:2" x14ac:dyDescent="0.25">
      <c r="A13" s="4" t="s">
        <v>133</v>
      </c>
      <c r="B13" s="2"/>
    </row>
    <row r="14" spans="1:2" x14ac:dyDescent="0.25">
      <c r="A14" s="5" t="s">
        <v>759</v>
      </c>
      <c r="B14" s="2">
        <f>'Tableau fonctionnelle'!C9</f>
        <v>4024552.3500000015</v>
      </c>
    </row>
    <row r="15" spans="1:2" x14ac:dyDescent="0.25">
      <c r="A15" s="5" t="s">
        <v>760</v>
      </c>
      <c r="B15" s="2">
        <f>'Tableau fonctionnelle'!C13</f>
        <v>8450550.2599999998</v>
      </c>
    </row>
    <row r="16" spans="1:2" x14ac:dyDescent="0.25">
      <c r="A16" s="5" t="s">
        <v>761</v>
      </c>
      <c r="B16" s="2">
        <f>'Tableau fonctionnelle'!C17</f>
        <v>6850766.4099999983</v>
      </c>
    </row>
    <row r="17" spans="1:2" x14ac:dyDescent="0.25">
      <c r="A17" s="5" t="s">
        <v>762</v>
      </c>
      <c r="B17" s="2">
        <f>'Tableau fonctionnelle'!C21</f>
        <v>2005687.22</v>
      </c>
    </row>
    <row r="18" spans="1:2" x14ac:dyDescent="0.25">
      <c r="A18" s="5" t="s">
        <v>763</v>
      </c>
      <c r="B18" s="2">
        <f>'Tableau fonctionnelle'!C25</f>
        <v>12057.5</v>
      </c>
    </row>
    <row r="19" spans="1:2" x14ac:dyDescent="0.25">
      <c r="A19" s="5" t="s">
        <v>764</v>
      </c>
      <c r="B19" s="2">
        <f>'Tableau fonctionnelle'!C29</f>
        <v>37443705.99000001</v>
      </c>
    </row>
    <row r="20" spans="1:2" x14ac:dyDescent="0.25">
      <c r="A20" s="5" t="s">
        <v>870</v>
      </c>
      <c r="B20" s="2">
        <f>'Tableau fonctionnelle'!C33</f>
        <v>8401519.7700000014</v>
      </c>
    </row>
    <row r="21" spans="1:2" x14ac:dyDescent="0.25">
      <c r="A21" s="5" t="s">
        <v>765</v>
      </c>
      <c r="B21" s="2">
        <f>'Tableau fonctionnelle'!C37</f>
        <v>48009863.620000005</v>
      </c>
    </row>
    <row r="22" spans="1:2" x14ac:dyDescent="0.25">
      <c r="A22" s="5" t="s">
        <v>766</v>
      </c>
      <c r="B22" s="2">
        <f>'Tableau fonctionnelle'!C41</f>
        <v>60624662.179999985</v>
      </c>
    </row>
    <row r="23" spans="1:2" x14ac:dyDescent="0.25">
      <c r="A23" s="5" t="s">
        <v>767</v>
      </c>
      <c r="B23" s="2">
        <f>'Tableau fonctionnelle'!C45</f>
        <v>291564953.30000007</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I243"/>
  <sheetViews>
    <sheetView zoomScale="115" zoomScaleNormal="115" workbookViewId="0">
      <pane xSplit="5" ySplit="4" topLeftCell="BA20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65" style="8" customWidth="1"/>
    <col min="6" max="12" width="16.28515625" style="8" customWidth="1"/>
    <col min="13" max="13" width="17" style="8" customWidth="1"/>
    <col min="14" max="56" width="16.28515625" style="8" customWidth="1"/>
    <col min="57" max="60" width="17.85546875" style="8" customWidth="1"/>
    <col min="61" max="61" width="12.85546875" style="8" bestFit="1" customWidth="1"/>
    <col min="62" max="16384" width="11.42578125" style="8"/>
  </cols>
  <sheetData>
    <row r="2" spans="1:60" ht="20.25" x14ac:dyDescent="0.3">
      <c r="A2" s="192" t="s">
        <v>863</v>
      </c>
      <c r="B2" s="7"/>
      <c r="C2" s="7"/>
      <c r="D2" s="7"/>
      <c r="E2" s="16"/>
    </row>
    <row r="3" spans="1:60" x14ac:dyDescent="0.2">
      <c r="A3" s="8" t="s">
        <v>773</v>
      </c>
      <c r="F3" s="9">
        <f>'Base de données pop.'!C2</f>
        <v>961</v>
      </c>
      <c r="G3" s="9">
        <f>'Base de données pop.'!C3</f>
        <v>261</v>
      </c>
      <c r="H3" s="9">
        <f>'Base de données pop.'!C4</f>
        <v>494</v>
      </c>
      <c r="I3" s="9">
        <f>'Base de données pop.'!C5</f>
        <v>445</v>
      </c>
      <c r="J3" s="9">
        <f>'Base de données pop.'!C6</f>
        <v>3667</v>
      </c>
      <c r="K3" s="9">
        <f>'Base de données pop.'!C7</f>
        <v>3396</v>
      </c>
      <c r="L3" s="9">
        <f>'Base de données pop.'!C8</f>
        <v>2724</v>
      </c>
      <c r="M3" s="9">
        <f>'Base de données pop.'!C9</f>
        <v>12739</v>
      </c>
      <c r="N3" s="9">
        <f>'Base de données pop.'!C10</f>
        <v>1372</v>
      </c>
      <c r="O3" s="9">
        <f>'Base de données pop.'!C11</f>
        <v>117</v>
      </c>
      <c r="P3" s="9">
        <f>'Base de données pop.'!C12</f>
        <v>7362</v>
      </c>
      <c r="Q3" s="9">
        <f>'Base de données pop.'!C13</f>
        <v>535</v>
      </c>
      <c r="R3" s="9">
        <f>'Base de données pop.'!C14</f>
        <v>112</v>
      </c>
      <c r="S3" s="9">
        <f>'Base de données pop.'!C15</f>
        <v>420</v>
      </c>
      <c r="T3" s="9">
        <f>'Base de données pop.'!C16</f>
        <v>349</v>
      </c>
      <c r="U3" s="9">
        <f>'Base de données pop.'!C17</f>
        <v>733</v>
      </c>
      <c r="V3" s="9">
        <f>'Base de données pop.'!C18</f>
        <v>273</v>
      </c>
      <c r="W3" s="9">
        <f>'Base de données pop.'!C19</f>
        <v>431</v>
      </c>
      <c r="X3" s="9">
        <f>'Base de données pop.'!C20</f>
        <v>3269</v>
      </c>
      <c r="Y3" s="9">
        <f>'Base de données pop.'!C21</f>
        <v>305</v>
      </c>
      <c r="Z3" s="9">
        <f>'Base de données pop.'!C22</f>
        <v>1252</v>
      </c>
      <c r="AA3" s="9">
        <f>'Base de données pop.'!C23</f>
        <v>1642</v>
      </c>
      <c r="AB3" s="9">
        <f>'Base de données pop.'!C24</f>
        <v>149</v>
      </c>
      <c r="AC3" s="9">
        <f>'Base de données pop.'!C25</f>
        <v>510</v>
      </c>
      <c r="AD3" s="9">
        <f>'Base de données pop.'!C26</f>
        <v>710</v>
      </c>
      <c r="AE3" s="9">
        <f>'Base de données pop.'!C27</f>
        <v>566</v>
      </c>
      <c r="AF3" s="9">
        <f>'Base de données pop.'!C28</f>
        <v>508</v>
      </c>
      <c r="AG3" s="9">
        <f>'Base de données pop.'!C29</f>
        <v>1957</v>
      </c>
      <c r="AH3" s="9">
        <f>'Base de données pop.'!C30</f>
        <v>2568</v>
      </c>
      <c r="AI3" s="9">
        <f>'Base de données pop.'!C31</f>
        <v>239</v>
      </c>
      <c r="AJ3" s="9">
        <f>'Base de données pop.'!C32</f>
        <v>125</v>
      </c>
      <c r="AK3" s="9">
        <f>'Base de données pop.'!C33</f>
        <v>1907</v>
      </c>
      <c r="AL3" s="9">
        <f>'Base de données pop.'!C34</f>
        <v>1134</v>
      </c>
      <c r="AM3" s="9">
        <f>'Base de données pop.'!C35</f>
        <v>1203</v>
      </c>
      <c r="AN3" s="9">
        <f>'Base de données pop.'!C36</f>
        <v>112</v>
      </c>
      <c r="AO3" s="9">
        <f>'Base de données pop.'!C37</f>
        <v>1171</v>
      </c>
      <c r="AP3" s="9">
        <f>'Base de données pop.'!C38</f>
        <v>655</v>
      </c>
      <c r="AQ3" s="9">
        <f>'Base de données pop.'!C39</f>
        <v>631</v>
      </c>
      <c r="AR3" s="9">
        <f>'Base de données pop.'!C40</f>
        <v>1294</v>
      </c>
      <c r="AS3" s="9">
        <f>'Base de données pop.'!C41</f>
        <v>721</v>
      </c>
      <c r="AT3" s="9">
        <f>'Base de données pop.'!C42</f>
        <v>1060</v>
      </c>
      <c r="AU3" s="9">
        <f>'Base de données pop.'!C43</f>
        <v>314</v>
      </c>
      <c r="AV3" s="9">
        <f>'Base de données pop.'!C44</f>
        <v>2453</v>
      </c>
      <c r="AW3" s="9">
        <f>'Base de données pop.'!C45</f>
        <v>774</v>
      </c>
      <c r="AX3" s="9">
        <f>'Base de données pop.'!C46</f>
        <v>363</v>
      </c>
      <c r="AY3" s="9">
        <f>'Base de données pop.'!C47</f>
        <v>332</v>
      </c>
      <c r="AZ3" s="9">
        <f>'Base de données pop.'!C48</f>
        <v>1647</v>
      </c>
      <c r="BA3" s="9">
        <f>'Base de données pop.'!C49</f>
        <v>381</v>
      </c>
      <c r="BB3" s="9">
        <f>'Base de données pop.'!C50</f>
        <v>1057</v>
      </c>
      <c r="BC3" s="9">
        <f>'Base de données pop.'!C51</f>
        <v>6601</v>
      </c>
      <c r="BD3" s="9">
        <f>'Base de données pop.'!C52</f>
        <v>547</v>
      </c>
      <c r="BE3" s="9">
        <f>SUM(F3:BD3)</f>
        <v>74548</v>
      </c>
      <c r="BF3" s="9">
        <f>SUM(F3:X3)</f>
        <v>39660</v>
      </c>
      <c r="BG3" s="9">
        <f>SUM(Y3:AJ3)</f>
        <v>10531</v>
      </c>
      <c r="BH3" s="9">
        <f>SUM(AK3:BD3)</f>
        <v>24357</v>
      </c>
    </row>
    <row r="4" spans="1:60" x14ac:dyDescent="0.2">
      <c r="F4" s="90" t="s">
        <v>55</v>
      </c>
      <c r="G4" s="90" t="s">
        <v>17</v>
      </c>
      <c r="H4" s="90" t="s">
        <v>56</v>
      </c>
      <c r="I4" s="90" t="s">
        <v>52</v>
      </c>
      <c r="J4" s="90" t="s">
        <v>32</v>
      </c>
      <c r="K4" s="90" t="s">
        <v>10</v>
      </c>
      <c r="L4" s="90" t="s">
        <v>14</v>
      </c>
      <c r="M4" s="90" t="s">
        <v>27</v>
      </c>
      <c r="N4" s="90" t="s">
        <v>41</v>
      </c>
      <c r="O4" s="90" t="s">
        <v>22</v>
      </c>
      <c r="P4" s="90" t="s">
        <v>21</v>
      </c>
      <c r="Q4" s="90" t="s">
        <v>12</v>
      </c>
      <c r="R4" s="90" t="s">
        <v>16</v>
      </c>
      <c r="S4" s="90" t="s">
        <v>42</v>
      </c>
      <c r="T4" s="90" t="s">
        <v>39</v>
      </c>
      <c r="U4" s="90" t="s">
        <v>30</v>
      </c>
      <c r="V4" s="90" t="s">
        <v>11</v>
      </c>
      <c r="W4" s="90" t="s">
        <v>58</v>
      </c>
      <c r="X4" s="90" t="s">
        <v>26</v>
      </c>
      <c r="Y4" s="90" t="s">
        <v>29</v>
      </c>
      <c r="Z4" s="90" t="s">
        <v>19</v>
      </c>
      <c r="AA4" s="90" t="s">
        <v>44</v>
      </c>
      <c r="AB4" s="90" t="s">
        <v>38</v>
      </c>
      <c r="AC4" s="90" t="s">
        <v>18</v>
      </c>
      <c r="AD4" s="90" t="s">
        <v>40</v>
      </c>
      <c r="AE4" s="90" t="s">
        <v>35</v>
      </c>
      <c r="AF4" s="90" t="s">
        <v>7</v>
      </c>
      <c r="AG4" s="90" t="s">
        <v>54</v>
      </c>
      <c r="AH4" s="90" t="s">
        <v>20</v>
      </c>
      <c r="AI4" s="90" t="s">
        <v>6</v>
      </c>
      <c r="AJ4" s="90" t="s">
        <v>33</v>
      </c>
      <c r="AK4" s="90" t="s">
        <v>51</v>
      </c>
      <c r="AL4" s="90" t="s">
        <v>13</v>
      </c>
      <c r="AM4" s="90" t="s">
        <v>31</v>
      </c>
      <c r="AN4" s="90" t="s">
        <v>28</v>
      </c>
      <c r="AO4" s="90" t="s">
        <v>25</v>
      </c>
      <c r="AP4" s="90" t="s">
        <v>47</v>
      </c>
      <c r="AQ4" s="90" t="s">
        <v>43</v>
      </c>
      <c r="AR4" s="90" t="s">
        <v>36</v>
      </c>
      <c r="AS4" s="90" t="s">
        <v>50</v>
      </c>
      <c r="AT4" s="90" t="s">
        <v>8</v>
      </c>
      <c r="AU4" s="90" t="s">
        <v>23</v>
      </c>
      <c r="AV4" s="90" t="s">
        <v>9</v>
      </c>
      <c r="AW4" s="90" t="s">
        <v>61</v>
      </c>
      <c r="AX4" s="90" t="s">
        <v>850</v>
      </c>
      <c r="AY4" s="90" t="s">
        <v>34</v>
      </c>
      <c r="AZ4" s="90" t="s">
        <v>48</v>
      </c>
      <c r="BA4" s="90" t="s">
        <v>46</v>
      </c>
      <c r="BB4" s="90" t="s">
        <v>57</v>
      </c>
      <c r="BC4" s="90" t="s">
        <v>15</v>
      </c>
      <c r="BD4" s="90" t="s">
        <v>24</v>
      </c>
      <c r="BE4" s="112" t="s">
        <v>64</v>
      </c>
      <c r="BF4" s="112" t="s">
        <v>27</v>
      </c>
      <c r="BG4" s="112" t="s">
        <v>63</v>
      </c>
      <c r="BH4" s="112" t="s">
        <v>15</v>
      </c>
    </row>
    <row r="5" spans="1:60" ht="20.25" x14ac:dyDescent="0.3">
      <c r="A5" s="114">
        <v>1</v>
      </c>
      <c r="B5" s="114"/>
      <c r="C5" s="114"/>
      <c r="D5" s="114"/>
      <c r="E5" s="114" t="s">
        <v>235</v>
      </c>
      <c r="F5" s="115">
        <f>F7+F15+F25+F31+F41+F48+F54+F62+F69+F80+F86+F97+F108</f>
        <v>16768646.529999999</v>
      </c>
      <c r="G5" s="115">
        <f t="shared" ref="G5:BD5" si="0">G7+G15+G25+G31+G41+G48+G54+G62+G69+G80+G86+G97+G108</f>
        <v>2855462.88</v>
      </c>
      <c r="H5" s="115">
        <f t="shared" si="0"/>
        <v>6160716.870000001</v>
      </c>
      <c r="I5" s="115">
        <f t="shared" si="0"/>
        <v>7170176.1399999987</v>
      </c>
      <c r="J5" s="115">
        <f t="shared" si="0"/>
        <v>43392907.269999996</v>
      </c>
      <c r="K5" s="115">
        <f t="shared" si="0"/>
        <v>32167105.920000002</v>
      </c>
      <c r="L5" s="115">
        <f t="shared" si="0"/>
        <v>23413700.529999997</v>
      </c>
      <c r="M5" s="115">
        <f t="shared" si="0"/>
        <v>204503091.97</v>
      </c>
      <c r="N5" s="115">
        <f t="shared" si="0"/>
        <v>11722835.960000003</v>
      </c>
      <c r="O5" s="115">
        <f t="shared" si="0"/>
        <v>1597061.25</v>
      </c>
      <c r="P5" s="115">
        <f t="shared" si="0"/>
        <v>60173948.359999999</v>
      </c>
      <c r="Q5" s="115">
        <f t="shared" si="0"/>
        <v>4322819.79</v>
      </c>
      <c r="R5" s="115">
        <f t="shared" si="0"/>
        <v>749394.48</v>
      </c>
      <c r="S5" s="115">
        <f t="shared" si="0"/>
        <v>4567303.6399999997</v>
      </c>
      <c r="T5" s="115">
        <f t="shared" si="0"/>
        <v>5047950.87</v>
      </c>
      <c r="U5" s="115">
        <f t="shared" si="0"/>
        <v>8859585.0900000017</v>
      </c>
      <c r="V5" s="115">
        <f t="shared" si="0"/>
        <v>2149441.9800000004</v>
      </c>
      <c r="W5" s="115">
        <f t="shared" si="0"/>
        <v>4391978.1499999994</v>
      </c>
      <c r="X5" s="115">
        <f t="shared" si="0"/>
        <v>24061589.41</v>
      </c>
      <c r="Y5" s="115">
        <f t="shared" si="0"/>
        <v>4087856.1000000006</v>
      </c>
      <c r="Z5" s="115">
        <f t="shared" si="0"/>
        <v>14207784.689999999</v>
      </c>
      <c r="AA5" s="115">
        <f t="shared" si="0"/>
        <v>42159688.439999998</v>
      </c>
      <c r="AB5" s="115">
        <f t="shared" si="0"/>
        <v>3183321.05</v>
      </c>
      <c r="AC5" s="115">
        <f t="shared" si="0"/>
        <v>6015382.9499999993</v>
      </c>
      <c r="AD5" s="115">
        <f t="shared" si="0"/>
        <v>9380322.120000001</v>
      </c>
      <c r="AE5" s="115">
        <f t="shared" si="0"/>
        <v>6657827.7600000007</v>
      </c>
      <c r="AF5" s="115">
        <f t="shared" si="0"/>
        <v>8332214.4400000004</v>
      </c>
      <c r="AG5" s="115">
        <f t="shared" si="0"/>
        <v>17824654.890000001</v>
      </c>
      <c r="AH5" s="115">
        <f t="shared" si="0"/>
        <v>28634521.5</v>
      </c>
      <c r="AI5" s="115">
        <f t="shared" si="0"/>
        <v>3979285.11</v>
      </c>
      <c r="AJ5" s="115">
        <f t="shared" si="0"/>
        <v>3228981</v>
      </c>
      <c r="AK5" s="115">
        <f t="shared" si="0"/>
        <v>23876769.640000001</v>
      </c>
      <c r="AL5" s="115">
        <f t="shared" si="0"/>
        <v>15264505.710000001</v>
      </c>
      <c r="AM5" s="115">
        <f t="shared" si="0"/>
        <v>16525242.710000001</v>
      </c>
      <c r="AN5" s="115">
        <f t="shared" si="0"/>
        <v>2763993.32</v>
      </c>
      <c r="AO5" s="115">
        <f t="shared" si="0"/>
        <v>33846962.030000001</v>
      </c>
      <c r="AP5" s="115">
        <f t="shared" si="0"/>
        <v>7475568.7199999997</v>
      </c>
      <c r="AQ5" s="115">
        <f t="shared" si="0"/>
        <v>7945016.6099999994</v>
      </c>
      <c r="AR5" s="115">
        <f t="shared" si="0"/>
        <v>21215737.399999995</v>
      </c>
      <c r="AS5" s="115">
        <f t="shared" si="0"/>
        <v>7758416.080000001</v>
      </c>
      <c r="AT5" s="115">
        <f t="shared" si="0"/>
        <v>11333640.840000002</v>
      </c>
      <c r="AU5" s="115">
        <f t="shared" si="0"/>
        <v>5771443.04</v>
      </c>
      <c r="AV5" s="115">
        <f t="shared" si="0"/>
        <v>23175190.949999999</v>
      </c>
      <c r="AW5" s="115">
        <f t="shared" si="0"/>
        <v>9266461.7100000009</v>
      </c>
      <c r="AX5" s="115">
        <f t="shared" si="0"/>
        <v>3418905.1900000004</v>
      </c>
      <c r="AY5" s="115">
        <f t="shared" si="0"/>
        <v>3505256.7500000005</v>
      </c>
      <c r="AZ5" s="115">
        <f t="shared" si="0"/>
        <v>23101613.890000001</v>
      </c>
      <c r="BA5" s="115">
        <f t="shared" si="0"/>
        <v>6719233.1099999994</v>
      </c>
      <c r="BB5" s="115">
        <f t="shared" si="0"/>
        <v>15948279.16</v>
      </c>
      <c r="BC5" s="115">
        <f t="shared" si="0"/>
        <v>85194314.960000008</v>
      </c>
      <c r="BD5" s="115">
        <f t="shared" si="0"/>
        <v>6613759.620000001</v>
      </c>
      <c r="BE5" s="115">
        <f t="shared" ref="BE5:BE13" si="1">SUM(F5:BD5)</f>
        <v>942487868.5800004</v>
      </c>
      <c r="BF5" s="115">
        <f t="shared" ref="BF5:BF13" si="2">SUM(F5:X5)</f>
        <v>464075717.09000003</v>
      </c>
      <c r="BG5" s="115">
        <f t="shared" ref="BG5:BG13" si="3">SUM(Y5:AJ5)</f>
        <v>147691840.05000001</v>
      </c>
      <c r="BH5" s="115">
        <f t="shared" ref="BH5:BH13" si="4">SUM(AK5:BD5)</f>
        <v>330720311.44</v>
      </c>
    </row>
    <row r="6" spans="1:60" ht="15" x14ac:dyDescent="0.25">
      <c r="A6" s="16"/>
      <c r="B6" s="116">
        <v>10</v>
      </c>
      <c r="C6" s="116"/>
      <c r="D6" s="116"/>
      <c r="E6" s="116" t="s">
        <v>236</v>
      </c>
      <c r="F6" s="117">
        <f>F7+F15+F25+F31+F41+F48+F54+F62</f>
        <v>6225791.5600000005</v>
      </c>
      <c r="G6" s="117">
        <f t="shared" ref="G6:BD6" si="5">G7+G15+G25+G31+G41+G48+G54+G62</f>
        <v>1129469.4399999999</v>
      </c>
      <c r="H6" s="117">
        <f t="shared" si="5"/>
        <v>3364550.77</v>
      </c>
      <c r="I6" s="117">
        <f t="shared" si="5"/>
        <v>4682127.29</v>
      </c>
      <c r="J6" s="117">
        <f t="shared" si="5"/>
        <v>15956745.210000001</v>
      </c>
      <c r="K6" s="117">
        <f t="shared" si="5"/>
        <v>8217890.5499999998</v>
      </c>
      <c r="L6" s="117">
        <f t="shared" si="5"/>
        <v>11579657.029999999</v>
      </c>
      <c r="M6" s="117">
        <f t="shared" si="5"/>
        <v>66151169.350000009</v>
      </c>
      <c r="N6" s="117">
        <f t="shared" si="5"/>
        <v>3433954.1900000004</v>
      </c>
      <c r="O6" s="117">
        <f t="shared" si="5"/>
        <v>283603.23</v>
      </c>
      <c r="P6" s="117">
        <f t="shared" si="5"/>
        <v>17608235.700000003</v>
      </c>
      <c r="Q6" s="117">
        <f t="shared" si="5"/>
        <v>2025637.3000000003</v>
      </c>
      <c r="R6" s="117">
        <f t="shared" si="5"/>
        <v>491072.38</v>
      </c>
      <c r="S6" s="117">
        <f t="shared" si="5"/>
        <v>1747064.31</v>
      </c>
      <c r="T6" s="117">
        <f t="shared" si="5"/>
        <v>2431056.4699999997</v>
      </c>
      <c r="U6" s="117">
        <f t="shared" si="5"/>
        <v>6198806.75</v>
      </c>
      <c r="V6" s="117">
        <f t="shared" si="5"/>
        <v>953442.88000000012</v>
      </c>
      <c r="W6" s="117">
        <f t="shared" si="5"/>
        <v>1897127.15</v>
      </c>
      <c r="X6" s="117">
        <f t="shared" si="5"/>
        <v>5433936.8800000008</v>
      </c>
      <c r="Y6" s="117">
        <f t="shared" si="5"/>
        <v>1809164.1500000001</v>
      </c>
      <c r="Z6" s="117">
        <f t="shared" si="5"/>
        <v>3581573.01</v>
      </c>
      <c r="AA6" s="117">
        <f t="shared" si="5"/>
        <v>32224253.789999999</v>
      </c>
      <c r="AB6" s="117">
        <f t="shared" si="5"/>
        <v>1835143.9000000001</v>
      </c>
      <c r="AC6" s="117">
        <f t="shared" si="5"/>
        <v>2930503.5199999996</v>
      </c>
      <c r="AD6" s="117">
        <f t="shared" si="5"/>
        <v>2151210.0099999998</v>
      </c>
      <c r="AE6" s="117">
        <f t="shared" si="5"/>
        <v>2001684.5100000002</v>
      </c>
      <c r="AF6" s="117">
        <f t="shared" si="5"/>
        <v>3043874.2300000004</v>
      </c>
      <c r="AG6" s="117">
        <f t="shared" si="5"/>
        <v>8206868.8000000007</v>
      </c>
      <c r="AH6" s="117">
        <f t="shared" si="5"/>
        <v>11506428.15</v>
      </c>
      <c r="AI6" s="117">
        <f t="shared" si="5"/>
        <v>1849198.98</v>
      </c>
      <c r="AJ6" s="117">
        <f t="shared" si="5"/>
        <v>1915936.3</v>
      </c>
      <c r="AK6" s="117">
        <f t="shared" si="5"/>
        <v>6987052.6799999997</v>
      </c>
      <c r="AL6" s="117">
        <f t="shared" si="5"/>
        <v>5419396.3099999996</v>
      </c>
      <c r="AM6" s="117">
        <f t="shared" si="5"/>
        <v>5702750.6200000001</v>
      </c>
      <c r="AN6" s="117">
        <f t="shared" si="5"/>
        <v>1514616.04</v>
      </c>
      <c r="AO6" s="117">
        <f t="shared" si="5"/>
        <v>16125444.41</v>
      </c>
      <c r="AP6" s="117">
        <f t="shared" si="5"/>
        <v>2756010.4699999997</v>
      </c>
      <c r="AQ6" s="117">
        <f t="shared" si="5"/>
        <v>3079432.68</v>
      </c>
      <c r="AR6" s="117">
        <f t="shared" si="5"/>
        <v>10816502.059999999</v>
      </c>
      <c r="AS6" s="117">
        <f t="shared" si="5"/>
        <v>2584544.98</v>
      </c>
      <c r="AT6" s="117">
        <f t="shared" si="5"/>
        <v>4203864.45</v>
      </c>
      <c r="AU6" s="117">
        <f t="shared" si="5"/>
        <v>2772531.79</v>
      </c>
      <c r="AV6" s="117">
        <f t="shared" si="5"/>
        <v>5131515.6499999994</v>
      </c>
      <c r="AW6" s="117">
        <f t="shared" si="5"/>
        <v>3213394.9300000006</v>
      </c>
      <c r="AX6" s="117">
        <f t="shared" si="5"/>
        <v>1620584.54</v>
      </c>
      <c r="AY6" s="117">
        <f t="shared" si="5"/>
        <v>2294031.4000000004</v>
      </c>
      <c r="AZ6" s="117">
        <f t="shared" si="5"/>
        <v>4569535.6400000006</v>
      </c>
      <c r="BA6" s="117">
        <f t="shared" si="5"/>
        <v>3041087.9499999997</v>
      </c>
      <c r="BB6" s="117">
        <f t="shared" si="5"/>
        <v>5110839.08</v>
      </c>
      <c r="BC6" s="117">
        <f t="shared" si="5"/>
        <v>27535890.880000003</v>
      </c>
      <c r="BD6" s="117">
        <f t="shared" si="5"/>
        <v>2723943.42</v>
      </c>
      <c r="BE6" s="117">
        <f t="shared" si="1"/>
        <v>350070147.77000004</v>
      </c>
      <c r="BF6" s="117">
        <f t="shared" si="2"/>
        <v>159811338.44000003</v>
      </c>
      <c r="BG6" s="117">
        <f t="shared" si="3"/>
        <v>73055839.350000009</v>
      </c>
      <c r="BH6" s="117">
        <f t="shared" si="4"/>
        <v>117202969.98</v>
      </c>
    </row>
    <row r="7" spans="1:60" ht="15" x14ac:dyDescent="0.25">
      <c r="A7" s="17"/>
      <c r="B7" s="17"/>
      <c r="C7" s="85">
        <v>100</v>
      </c>
      <c r="D7" s="85"/>
      <c r="E7" s="85" t="s">
        <v>237</v>
      </c>
      <c r="F7" s="107">
        <f>F8+F9+F10+F11+F12+F13</f>
        <v>4983487.74</v>
      </c>
      <c r="G7" s="107">
        <f t="shared" ref="G7:BD7" si="6">G8+G9+G10+G11+G12+G13</f>
        <v>264753.25</v>
      </c>
      <c r="H7" s="107">
        <f t="shared" si="6"/>
        <v>834255.35</v>
      </c>
      <c r="I7" s="107">
        <f t="shared" si="6"/>
        <v>1486486.69</v>
      </c>
      <c r="J7" s="107">
        <f t="shared" si="6"/>
        <v>2408499.9500000002</v>
      </c>
      <c r="K7" s="107">
        <f t="shared" si="6"/>
        <v>579356.30000000005</v>
      </c>
      <c r="L7" s="107">
        <f t="shared" si="6"/>
        <v>3332864.38</v>
      </c>
      <c r="M7" s="107">
        <f t="shared" si="6"/>
        <v>7879716.1500000004</v>
      </c>
      <c r="N7" s="107">
        <f t="shared" si="6"/>
        <v>282564.84999999998</v>
      </c>
      <c r="O7" s="107">
        <f t="shared" si="6"/>
        <v>86446.3</v>
      </c>
      <c r="P7" s="107">
        <f t="shared" si="6"/>
        <v>4986546.3</v>
      </c>
      <c r="Q7" s="107">
        <f t="shared" si="6"/>
        <v>381852.41000000003</v>
      </c>
      <c r="R7" s="107">
        <f t="shared" si="6"/>
        <v>180133.86</v>
      </c>
      <c r="S7" s="107">
        <f t="shared" si="6"/>
        <v>355442.75</v>
      </c>
      <c r="T7" s="107">
        <f t="shared" si="6"/>
        <v>1151008.3700000001</v>
      </c>
      <c r="U7" s="107">
        <f t="shared" si="6"/>
        <v>1874207.82</v>
      </c>
      <c r="V7" s="107">
        <f t="shared" si="6"/>
        <v>36291.369999999995</v>
      </c>
      <c r="W7" s="107">
        <f t="shared" si="6"/>
        <v>364775.65</v>
      </c>
      <c r="X7" s="107">
        <f t="shared" si="6"/>
        <v>410146.39</v>
      </c>
      <c r="Y7" s="107">
        <f t="shared" si="6"/>
        <v>1370229.33</v>
      </c>
      <c r="Z7" s="107">
        <f t="shared" si="6"/>
        <v>2368055.15</v>
      </c>
      <c r="AA7" s="107">
        <f t="shared" si="6"/>
        <v>4430564.8900000006</v>
      </c>
      <c r="AB7" s="107">
        <f t="shared" si="6"/>
        <v>551283.68999999994</v>
      </c>
      <c r="AC7" s="107">
        <f t="shared" si="6"/>
        <v>587087.32000000007</v>
      </c>
      <c r="AD7" s="107">
        <f t="shared" si="6"/>
        <v>26047.179999999997</v>
      </c>
      <c r="AE7" s="107">
        <f t="shared" si="6"/>
        <v>1406624.4700000002</v>
      </c>
      <c r="AF7" s="107">
        <f t="shared" si="6"/>
        <v>2490948.7400000002</v>
      </c>
      <c r="AG7" s="107">
        <f t="shared" si="6"/>
        <v>2177889.41</v>
      </c>
      <c r="AH7" s="107">
        <f t="shared" si="6"/>
        <v>8097218.2300000004</v>
      </c>
      <c r="AI7" s="107">
        <f t="shared" si="6"/>
        <v>823284.08</v>
      </c>
      <c r="AJ7" s="107">
        <f t="shared" si="6"/>
        <v>707398.86</v>
      </c>
      <c r="AK7" s="107">
        <f t="shared" si="6"/>
        <v>3332980.9299999997</v>
      </c>
      <c r="AL7" s="107">
        <f t="shared" si="6"/>
        <v>2119353.5699999998</v>
      </c>
      <c r="AM7" s="107">
        <f t="shared" si="6"/>
        <v>1229322.3399999999</v>
      </c>
      <c r="AN7" s="107">
        <f t="shared" si="6"/>
        <v>489576.63999999996</v>
      </c>
      <c r="AO7" s="107">
        <f t="shared" si="6"/>
        <v>3846642.0500000003</v>
      </c>
      <c r="AP7" s="107">
        <f t="shared" si="6"/>
        <v>769225.21</v>
      </c>
      <c r="AQ7" s="107">
        <f t="shared" si="6"/>
        <v>1583511.78</v>
      </c>
      <c r="AR7" s="107">
        <f t="shared" si="6"/>
        <v>828986.96000000008</v>
      </c>
      <c r="AS7" s="107">
        <f t="shared" si="6"/>
        <v>763584.64</v>
      </c>
      <c r="AT7" s="107">
        <f t="shared" si="6"/>
        <v>1075085.4100000001</v>
      </c>
      <c r="AU7" s="107">
        <f t="shared" si="6"/>
        <v>2588859.71</v>
      </c>
      <c r="AV7" s="107">
        <f t="shared" si="6"/>
        <v>1747878.2</v>
      </c>
      <c r="AW7" s="107">
        <f t="shared" si="6"/>
        <v>1116708.9300000002</v>
      </c>
      <c r="AX7" s="107">
        <f t="shared" si="6"/>
        <v>922766.25</v>
      </c>
      <c r="AY7" s="107">
        <f t="shared" si="6"/>
        <v>1552062.9300000002</v>
      </c>
      <c r="AZ7" s="107">
        <f t="shared" si="6"/>
        <v>372319.02</v>
      </c>
      <c r="BA7" s="107">
        <f t="shared" si="6"/>
        <v>2003733.24</v>
      </c>
      <c r="BB7" s="107">
        <f t="shared" si="6"/>
        <v>630795.77</v>
      </c>
      <c r="BC7" s="107">
        <f t="shared" si="6"/>
        <v>4136752.2800000003</v>
      </c>
      <c r="BD7" s="107">
        <f t="shared" si="6"/>
        <v>1046140.52</v>
      </c>
      <c r="BE7" s="107">
        <f t="shared" si="1"/>
        <v>89071753.609999985</v>
      </c>
      <c r="BF7" s="107">
        <f t="shared" si="2"/>
        <v>31878835.880000006</v>
      </c>
      <c r="BG7" s="107">
        <f t="shared" si="3"/>
        <v>25036631.350000001</v>
      </c>
      <c r="BH7" s="107">
        <f t="shared" si="4"/>
        <v>32156286.379999995</v>
      </c>
    </row>
    <row r="8" spans="1:60" ht="15" x14ac:dyDescent="0.25">
      <c r="D8" s="8">
        <v>1000</v>
      </c>
      <c r="E8" s="8" t="s">
        <v>307</v>
      </c>
      <c r="F8" s="13">
        <v>688.85</v>
      </c>
      <c r="G8" s="13">
        <v>2851.95</v>
      </c>
      <c r="H8" s="13">
        <v>211.6</v>
      </c>
      <c r="I8" s="13">
        <v>1942.77</v>
      </c>
      <c r="J8" s="13">
        <v>5177.8</v>
      </c>
      <c r="K8" s="13">
        <v>8072.4</v>
      </c>
      <c r="L8" s="13">
        <v>2945.05</v>
      </c>
      <c r="M8" s="13">
        <v>16373.48</v>
      </c>
      <c r="N8" s="13">
        <v>3790.86</v>
      </c>
      <c r="O8" s="13">
        <v>375.3</v>
      </c>
      <c r="P8" s="13">
        <v>5878.5</v>
      </c>
      <c r="Q8" s="13">
        <v>3737</v>
      </c>
      <c r="R8" s="13">
        <v>220.2</v>
      </c>
      <c r="S8" s="13">
        <v>1579.5</v>
      </c>
      <c r="T8" s="13">
        <v>1127.3499999999999</v>
      </c>
      <c r="U8" s="13">
        <v>1260.0999999999999</v>
      </c>
      <c r="V8" s="13">
        <v>424.95</v>
      </c>
      <c r="W8" s="13">
        <v>2276.65</v>
      </c>
      <c r="X8" s="13">
        <v>1625.25</v>
      </c>
      <c r="Y8" s="13">
        <v>1401</v>
      </c>
      <c r="Z8" s="13">
        <v>8760.7999999999993</v>
      </c>
      <c r="AA8" s="13">
        <v>2389.5</v>
      </c>
      <c r="AB8" s="13">
        <v>2101.8000000000002</v>
      </c>
      <c r="AC8" s="13">
        <v>225.55</v>
      </c>
      <c r="AD8" s="13">
        <v>1117.55</v>
      </c>
      <c r="AE8" s="13">
        <v>1291.4000000000001</v>
      </c>
      <c r="AF8" s="13">
        <v>5233.05</v>
      </c>
      <c r="AG8" s="13">
        <v>6359.6</v>
      </c>
      <c r="AH8" s="13">
        <v>4649.95</v>
      </c>
      <c r="AI8" s="13">
        <v>4457.8</v>
      </c>
      <c r="AJ8" s="13">
        <v>2342.15</v>
      </c>
      <c r="AK8" s="13">
        <v>6641.8</v>
      </c>
      <c r="AL8" s="13">
        <v>1682.7</v>
      </c>
      <c r="AM8" s="13">
        <v>2911</v>
      </c>
      <c r="AN8" s="13">
        <v>125.75</v>
      </c>
      <c r="AO8" s="13">
        <v>2048.5</v>
      </c>
      <c r="AP8" s="13">
        <v>1084.1500000000001</v>
      </c>
      <c r="AQ8" s="13">
        <v>2431.9499999999998</v>
      </c>
      <c r="AR8" s="13">
        <v>1838.55</v>
      </c>
      <c r="AS8" s="13">
        <v>5925.65</v>
      </c>
      <c r="AT8" s="13">
        <v>1512.85</v>
      </c>
      <c r="AU8" s="13">
        <v>570.54999999999995</v>
      </c>
      <c r="AV8" s="13">
        <v>1085.2</v>
      </c>
      <c r="AW8" s="13">
        <v>3569.95</v>
      </c>
      <c r="AX8" s="13">
        <v>4267.55</v>
      </c>
      <c r="AY8" s="13">
        <v>229.55</v>
      </c>
      <c r="AZ8" s="13">
        <v>1879.1</v>
      </c>
      <c r="BA8" s="13">
        <v>1158.8499999999999</v>
      </c>
      <c r="BB8" s="13">
        <v>5919.7</v>
      </c>
      <c r="BC8" s="13">
        <v>6440.15</v>
      </c>
      <c r="BD8" s="13">
        <v>1646.8</v>
      </c>
      <c r="BE8" s="95">
        <f t="shared" si="1"/>
        <v>153860.00999999998</v>
      </c>
      <c r="BF8" s="95">
        <f t="shared" si="2"/>
        <v>60559.56</v>
      </c>
      <c r="BG8" s="95">
        <f t="shared" si="3"/>
        <v>40330.15</v>
      </c>
      <c r="BH8" s="95">
        <f t="shared" si="4"/>
        <v>52970.299999999996</v>
      </c>
    </row>
    <row r="9" spans="1:60" ht="15" x14ac:dyDescent="0.25">
      <c r="D9" s="8">
        <v>1001</v>
      </c>
      <c r="E9" s="8" t="s">
        <v>308</v>
      </c>
      <c r="F9" s="13">
        <v>1171365.3</v>
      </c>
      <c r="G9" s="13">
        <v>80701.850000000006</v>
      </c>
      <c r="H9" s="13">
        <v>0</v>
      </c>
      <c r="I9" s="13">
        <v>317638.28999999998</v>
      </c>
      <c r="J9" s="13">
        <v>1094247.52</v>
      </c>
      <c r="K9" s="13">
        <v>64366.76</v>
      </c>
      <c r="L9" s="13">
        <v>64063.66</v>
      </c>
      <c r="M9" s="13">
        <v>6119683.1399999997</v>
      </c>
      <c r="N9" s="13">
        <v>71897.649999999994</v>
      </c>
      <c r="O9" s="13">
        <v>30394.6</v>
      </c>
      <c r="P9" s="13">
        <v>2025636.65</v>
      </c>
      <c r="Q9" s="13">
        <v>20527.59</v>
      </c>
      <c r="R9" s="13">
        <v>87471.87</v>
      </c>
      <c r="S9" s="13">
        <v>5720.08</v>
      </c>
      <c r="T9" s="13">
        <v>150739.74</v>
      </c>
      <c r="U9" s="13">
        <v>191066.93</v>
      </c>
      <c r="V9" s="13">
        <v>244.29</v>
      </c>
      <c r="W9" s="13">
        <v>38314.01</v>
      </c>
      <c r="X9" s="13">
        <v>353057.19</v>
      </c>
      <c r="Y9" s="13">
        <v>71206.259999999995</v>
      </c>
      <c r="Z9" s="13">
        <v>1091100.18</v>
      </c>
      <c r="AA9" s="13">
        <v>452225.25</v>
      </c>
      <c r="AB9" s="13">
        <v>231255.62</v>
      </c>
      <c r="AC9" s="13">
        <v>36584.980000000003</v>
      </c>
      <c r="AD9" s="13">
        <v>17724.669999999998</v>
      </c>
      <c r="AE9" s="13">
        <v>271786.23</v>
      </c>
      <c r="AF9" s="13">
        <v>707702.69</v>
      </c>
      <c r="AG9" s="13">
        <v>663923.87</v>
      </c>
      <c r="AH9" s="13">
        <v>2392125.67</v>
      </c>
      <c r="AI9" s="13">
        <v>4422.2</v>
      </c>
      <c r="AJ9" s="13">
        <v>39850</v>
      </c>
      <c r="AK9" s="13">
        <v>1932063.5</v>
      </c>
      <c r="AL9" s="13">
        <v>15824.7</v>
      </c>
      <c r="AM9" s="13">
        <v>769468.22</v>
      </c>
      <c r="AN9" s="13">
        <v>1.73</v>
      </c>
      <c r="AO9" s="13">
        <v>155541.18</v>
      </c>
      <c r="AP9" s="13">
        <v>132389.29999999999</v>
      </c>
      <c r="AQ9" s="13">
        <v>50232.1</v>
      </c>
      <c r="AR9" s="13">
        <v>276499.52</v>
      </c>
      <c r="AS9" s="13">
        <v>202320.72</v>
      </c>
      <c r="AT9" s="13">
        <v>0</v>
      </c>
      <c r="AU9" s="13">
        <v>76839.48</v>
      </c>
      <c r="AV9" s="13">
        <v>359101.08</v>
      </c>
      <c r="AW9" s="13">
        <v>44933.1</v>
      </c>
      <c r="AX9" s="13">
        <v>285473.53999999998</v>
      </c>
      <c r="AY9" s="13">
        <v>111186.76</v>
      </c>
      <c r="AZ9" s="13">
        <v>21821.35</v>
      </c>
      <c r="BA9" s="13">
        <v>607599.4</v>
      </c>
      <c r="BB9" s="13">
        <v>254741.95</v>
      </c>
      <c r="BC9" s="13">
        <v>589969.59</v>
      </c>
      <c r="BD9" s="13">
        <v>265292.23</v>
      </c>
      <c r="BE9" s="95">
        <f t="shared" si="1"/>
        <v>24018344.189999994</v>
      </c>
      <c r="BF9" s="95">
        <f t="shared" si="2"/>
        <v>11887137.119999997</v>
      </c>
      <c r="BG9" s="95">
        <f t="shared" si="3"/>
        <v>5979907.6200000001</v>
      </c>
      <c r="BH9" s="95">
        <f t="shared" si="4"/>
        <v>6151299.4499999993</v>
      </c>
    </row>
    <row r="10" spans="1:60" ht="15" x14ac:dyDescent="0.25">
      <c r="D10" s="8">
        <v>1002</v>
      </c>
      <c r="E10" s="8" t="s">
        <v>316</v>
      </c>
      <c r="F10" s="13">
        <v>3811433.59</v>
      </c>
      <c r="G10" s="13">
        <v>181199.45</v>
      </c>
      <c r="H10" s="13">
        <v>834043.75</v>
      </c>
      <c r="I10" s="13">
        <v>1166905.6299999999</v>
      </c>
      <c r="J10" s="13">
        <v>1309074.6299999999</v>
      </c>
      <c r="K10" s="13">
        <v>506917.14</v>
      </c>
      <c r="L10" s="13">
        <v>2765855.67</v>
      </c>
      <c r="M10" s="13">
        <v>1743659.53</v>
      </c>
      <c r="N10" s="13">
        <v>206876.34</v>
      </c>
      <c r="O10" s="13">
        <v>55676.4</v>
      </c>
      <c r="P10" s="13">
        <v>2955031.15</v>
      </c>
      <c r="Q10" s="13">
        <v>357587.82</v>
      </c>
      <c r="R10" s="13">
        <v>92441.79</v>
      </c>
      <c r="S10" s="13">
        <v>348143.17</v>
      </c>
      <c r="T10" s="13">
        <v>999141.28</v>
      </c>
      <c r="U10" s="13">
        <v>1681880.79</v>
      </c>
      <c r="V10" s="13">
        <v>35622.129999999997</v>
      </c>
      <c r="W10" s="13">
        <v>324184.99</v>
      </c>
      <c r="X10" s="13">
        <v>55463.95</v>
      </c>
      <c r="Y10" s="13">
        <v>1297622.07</v>
      </c>
      <c r="Z10" s="13">
        <v>1268194.17</v>
      </c>
      <c r="AA10" s="13">
        <v>3975950.14</v>
      </c>
      <c r="AB10" s="13">
        <v>317926.27</v>
      </c>
      <c r="AC10" s="13">
        <v>550276.79</v>
      </c>
      <c r="AD10" s="13">
        <v>7204.96</v>
      </c>
      <c r="AE10" s="13">
        <v>1133546.8400000001</v>
      </c>
      <c r="AF10" s="13">
        <v>276032.40000000002</v>
      </c>
      <c r="AG10" s="13">
        <v>1507605.94</v>
      </c>
      <c r="AH10" s="13">
        <v>4700442.6100000003</v>
      </c>
      <c r="AI10" s="13">
        <v>814404.08</v>
      </c>
      <c r="AJ10" s="13">
        <v>665206.71</v>
      </c>
      <c r="AK10" s="13">
        <v>1394275.63</v>
      </c>
      <c r="AL10" s="13">
        <v>2041846.17</v>
      </c>
      <c r="AM10" s="13">
        <v>456943.12</v>
      </c>
      <c r="AN10" s="13">
        <v>489449.16</v>
      </c>
      <c r="AO10" s="13">
        <v>3689052.37</v>
      </c>
      <c r="AP10" s="13">
        <v>635751.76</v>
      </c>
      <c r="AQ10" s="13">
        <v>1530847.73</v>
      </c>
      <c r="AR10" s="13">
        <v>546517.75</v>
      </c>
      <c r="AS10" s="13">
        <v>555338.27</v>
      </c>
      <c r="AT10" s="13">
        <v>1073572.56</v>
      </c>
      <c r="AU10" s="13">
        <v>2511449.6800000002</v>
      </c>
      <c r="AV10" s="13">
        <v>1387691.92</v>
      </c>
      <c r="AW10" s="13">
        <v>1064898.52</v>
      </c>
      <c r="AX10" s="13">
        <v>633025.16</v>
      </c>
      <c r="AY10" s="13">
        <v>1440646.62</v>
      </c>
      <c r="AZ10" s="13">
        <v>348618.57</v>
      </c>
      <c r="BA10" s="13">
        <v>1394974.99</v>
      </c>
      <c r="BB10" s="13">
        <v>370134.12</v>
      </c>
      <c r="BC10" s="13">
        <v>3540167.54</v>
      </c>
      <c r="BD10" s="13">
        <v>779201.49</v>
      </c>
      <c r="BE10" s="95">
        <f t="shared" si="1"/>
        <v>61829955.309999995</v>
      </c>
      <c r="BF10" s="95">
        <f t="shared" si="2"/>
        <v>19431139.199999996</v>
      </c>
      <c r="BG10" s="95">
        <f t="shared" si="3"/>
        <v>16514412.98</v>
      </c>
      <c r="BH10" s="95">
        <f t="shared" si="4"/>
        <v>25884403.129999999</v>
      </c>
    </row>
    <row r="11" spans="1:60" ht="15" x14ac:dyDescent="0.25">
      <c r="D11" s="8">
        <v>1003</v>
      </c>
      <c r="E11" s="8" t="s">
        <v>309</v>
      </c>
      <c r="F11" s="13">
        <v>0</v>
      </c>
      <c r="G11" s="13">
        <v>0</v>
      </c>
      <c r="H11" s="13">
        <v>0</v>
      </c>
      <c r="I11" s="13">
        <v>0</v>
      </c>
      <c r="J11" s="13">
        <v>0</v>
      </c>
      <c r="K11" s="13">
        <v>0</v>
      </c>
      <c r="L11" s="13">
        <v>500000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1501980.6</v>
      </c>
      <c r="AG11" s="13">
        <v>0</v>
      </c>
      <c r="AH11" s="13">
        <v>1000000</v>
      </c>
      <c r="AI11" s="13">
        <v>0</v>
      </c>
      <c r="AJ11" s="13">
        <v>0</v>
      </c>
      <c r="AK11" s="13">
        <v>0</v>
      </c>
      <c r="AL11" s="13">
        <v>60000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95">
        <f t="shared" si="1"/>
        <v>3061980.6</v>
      </c>
      <c r="BF11" s="95">
        <f t="shared" si="2"/>
        <v>500000</v>
      </c>
      <c r="BG11" s="95">
        <f t="shared" si="3"/>
        <v>2501980.6</v>
      </c>
      <c r="BH11" s="95">
        <f t="shared" si="4"/>
        <v>60000</v>
      </c>
    </row>
    <row r="12" spans="1:60"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4131.1400000000003</v>
      </c>
      <c r="AS12" s="13">
        <v>0</v>
      </c>
      <c r="AT12" s="13">
        <v>0</v>
      </c>
      <c r="AU12" s="13">
        <v>0</v>
      </c>
      <c r="AV12" s="13">
        <v>0</v>
      </c>
      <c r="AW12" s="13">
        <v>3307.36</v>
      </c>
      <c r="AX12" s="13">
        <v>0</v>
      </c>
      <c r="AY12" s="13">
        <v>0</v>
      </c>
      <c r="AZ12" s="13">
        <v>0</v>
      </c>
      <c r="BA12" s="13">
        <v>0</v>
      </c>
      <c r="BB12" s="13">
        <v>0</v>
      </c>
      <c r="BC12" s="13">
        <v>175</v>
      </c>
      <c r="BD12" s="13">
        <v>0</v>
      </c>
      <c r="BE12" s="95">
        <f t="shared" si="1"/>
        <v>7613.5</v>
      </c>
      <c r="BF12" s="95">
        <f t="shared" si="2"/>
        <v>0</v>
      </c>
      <c r="BG12" s="95">
        <f t="shared" si="3"/>
        <v>0</v>
      </c>
      <c r="BH12" s="95">
        <f t="shared" si="4"/>
        <v>7613.5</v>
      </c>
    </row>
    <row r="13" spans="1:60"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95">
        <f t="shared" si="1"/>
        <v>0</v>
      </c>
      <c r="BF13" s="95">
        <f t="shared" si="2"/>
        <v>0</v>
      </c>
      <c r="BG13" s="95">
        <f t="shared" si="3"/>
        <v>0</v>
      </c>
      <c r="BH13" s="95">
        <f t="shared" si="4"/>
        <v>0</v>
      </c>
    </row>
    <row r="14" spans="1:60"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95"/>
      <c r="BF14" s="95"/>
      <c r="BG14" s="95"/>
      <c r="BH14" s="95"/>
    </row>
    <row r="15" spans="1:60" ht="15" x14ac:dyDescent="0.25">
      <c r="A15" s="17"/>
      <c r="B15" s="17"/>
      <c r="C15" s="85">
        <v>101</v>
      </c>
      <c r="D15" s="85"/>
      <c r="E15" s="85" t="s">
        <v>238</v>
      </c>
      <c r="F15" s="107">
        <f>F16+F17+F18+F19+F20+F21+F22+F23</f>
        <v>824502.39999999991</v>
      </c>
      <c r="G15" s="107">
        <f t="shared" ref="G15:BD15" si="7">G16+G17+G18+G19+G20+G21+G22+G23</f>
        <v>121981.26999999999</v>
      </c>
      <c r="H15" s="107">
        <f t="shared" si="7"/>
        <v>342949.96</v>
      </c>
      <c r="I15" s="107">
        <f t="shared" si="7"/>
        <v>648112.51</v>
      </c>
      <c r="J15" s="107">
        <f t="shared" si="7"/>
        <v>4039888.33</v>
      </c>
      <c r="K15" s="107">
        <f t="shared" si="7"/>
        <v>2829503.1999999997</v>
      </c>
      <c r="L15" s="107">
        <f t="shared" si="7"/>
        <v>3439380.7499999995</v>
      </c>
      <c r="M15" s="107">
        <f t="shared" si="7"/>
        <v>15756562.41</v>
      </c>
      <c r="N15" s="107">
        <f t="shared" si="7"/>
        <v>1480750.6400000001</v>
      </c>
      <c r="O15" s="107">
        <f t="shared" si="7"/>
        <v>125927.18</v>
      </c>
      <c r="P15" s="107">
        <f t="shared" si="7"/>
        <v>5752231.7299999995</v>
      </c>
      <c r="Q15" s="107">
        <f t="shared" si="7"/>
        <v>888819.73</v>
      </c>
      <c r="R15" s="107">
        <f t="shared" si="7"/>
        <v>101489.31999999999</v>
      </c>
      <c r="S15" s="107">
        <f t="shared" si="7"/>
        <v>600973.7300000001</v>
      </c>
      <c r="T15" s="107">
        <f t="shared" si="7"/>
        <v>575764.85999999987</v>
      </c>
      <c r="U15" s="107">
        <f t="shared" si="7"/>
        <v>1112143.8699999999</v>
      </c>
      <c r="V15" s="107">
        <f t="shared" si="7"/>
        <v>285403.13</v>
      </c>
      <c r="W15" s="107">
        <f t="shared" si="7"/>
        <v>526545.5</v>
      </c>
      <c r="X15" s="107">
        <f t="shared" si="7"/>
        <v>2906490.8300000005</v>
      </c>
      <c r="Y15" s="107">
        <f t="shared" si="7"/>
        <v>359273.6</v>
      </c>
      <c r="Z15" s="107">
        <f t="shared" si="7"/>
        <v>892923.09000000008</v>
      </c>
      <c r="AA15" s="107">
        <f t="shared" si="7"/>
        <v>2545248.7199999997</v>
      </c>
      <c r="AB15" s="107">
        <f t="shared" si="7"/>
        <v>125879.40999999999</v>
      </c>
      <c r="AC15" s="107">
        <f t="shared" si="7"/>
        <v>713710.49999999988</v>
      </c>
      <c r="AD15" s="107">
        <f t="shared" si="7"/>
        <v>346155.77999999997</v>
      </c>
      <c r="AE15" s="107">
        <f t="shared" si="7"/>
        <v>474363.74000000005</v>
      </c>
      <c r="AF15" s="107">
        <f t="shared" si="7"/>
        <v>411062.03999999992</v>
      </c>
      <c r="AG15" s="107">
        <f t="shared" si="7"/>
        <v>2007115.6200000003</v>
      </c>
      <c r="AH15" s="107">
        <f t="shared" si="7"/>
        <v>2275817.3400000003</v>
      </c>
      <c r="AI15" s="107">
        <f t="shared" si="7"/>
        <v>985378.04999999993</v>
      </c>
      <c r="AJ15" s="107">
        <f t="shared" si="7"/>
        <v>130229.31</v>
      </c>
      <c r="AK15" s="107">
        <f t="shared" si="7"/>
        <v>2429840.09</v>
      </c>
      <c r="AL15" s="107">
        <f t="shared" si="7"/>
        <v>1237893.5799999998</v>
      </c>
      <c r="AM15" s="107">
        <f t="shared" si="7"/>
        <v>2030475.58</v>
      </c>
      <c r="AN15" s="107">
        <f t="shared" si="7"/>
        <v>353852.82</v>
      </c>
      <c r="AO15" s="107">
        <f t="shared" si="7"/>
        <v>2046264.84</v>
      </c>
      <c r="AP15" s="107">
        <f t="shared" si="7"/>
        <v>521426.49</v>
      </c>
      <c r="AQ15" s="107">
        <f t="shared" si="7"/>
        <v>665624.90000000014</v>
      </c>
      <c r="AR15" s="107">
        <f t="shared" si="7"/>
        <v>1382563.56</v>
      </c>
      <c r="AS15" s="107">
        <f t="shared" si="7"/>
        <v>856285.84</v>
      </c>
      <c r="AT15" s="107">
        <f t="shared" si="7"/>
        <v>1543731.27</v>
      </c>
      <c r="AU15" s="107">
        <f t="shared" si="7"/>
        <v>41685.749999999993</v>
      </c>
      <c r="AV15" s="107">
        <f t="shared" si="7"/>
        <v>2755859.69</v>
      </c>
      <c r="AW15" s="107">
        <f t="shared" si="7"/>
        <v>816775.66</v>
      </c>
      <c r="AX15" s="107">
        <f t="shared" si="7"/>
        <v>296470.23</v>
      </c>
      <c r="AY15" s="107">
        <f t="shared" si="7"/>
        <v>393775.79</v>
      </c>
      <c r="AZ15" s="107">
        <f t="shared" si="7"/>
        <v>2709283.92</v>
      </c>
      <c r="BA15" s="107">
        <f t="shared" si="7"/>
        <v>421956.12</v>
      </c>
      <c r="BB15" s="107">
        <f t="shared" si="7"/>
        <v>1563987.31</v>
      </c>
      <c r="BC15" s="107">
        <f t="shared" si="7"/>
        <v>11099761.25</v>
      </c>
      <c r="BD15" s="107">
        <f t="shared" si="7"/>
        <v>600037.30999999994</v>
      </c>
      <c r="BE15" s="107">
        <f t="shared" ref="BE15:BE23" si="8">SUM(F15:BD15)</f>
        <v>87394130.550000012</v>
      </c>
      <c r="BF15" s="107">
        <f t="shared" ref="BF15:BF23" si="9">SUM(F15:X15)</f>
        <v>42359421.349999987</v>
      </c>
      <c r="BG15" s="107">
        <f t="shared" ref="BG15:BG29" si="10">SUM(Y15:AJ15)</f>
        <v>11267157.200000001</v>
      </c>
      <c r="BH15" s="107">
        <f t="shared" ref="BH15:BH23" si="11">SUM(AK15:BD15)</f>
        <v>33767552</v>
      </c>
    </row>
    <row r="16" spans="1:60" ht="15" x14ac:dyDescent="0.25">
      <c r="D16" s="8">
        <v>1010</v>
      </c>
      <c r="E16" s="8" t="s">
        <v>312</v>
      </c>
      <c r="F16" s="13">
        <v>218065.05</v>
      </c>
      <c r="G16" s="13">
        <v>32266.95</v>
      </c>
      <c r="H16" s="13">
        <v>64422.16</v>
      </c>
      <c r="I16" s="13">
        <v>215204.45</v>
      </c>
      <c r="J16" s="13">
        <v>1323424.8700000001</v>
      </c>
      <c r="K16" s="13">
        <v>875432.7</v>
      </c>
      <c r="L16" s="13">
        <v>575484.81999999995</v>
      </c>
      <c r="M16" s="13">
        <v>11554637.99</v>
      </c>
      <c r="N16" s="13">
        <v>686555.53</v>
      </c>
      <c r="O16" s="13">
        <v>6258.39</v>
      </c>
      <c r="P16" s="13">
        <v>1816529.4</v>
      </c>
      <c r="Q16" s="13">
        <v>135866.85</v>
      </c>
      <c r="R16" s="13">
        <v>11797</v>
      </c>
      <c r="S16" s="13">
        <v>269353</v>
      </c>
      <c r="T16" s="13">
        <v>297363.45</v>
      </c>
      <c r="U16" s="13">
        <v>613990.85</v>
      </c>
      <c r="V16" s="13">
        <v>38830.1</v>
      </c>
      <c r="W16" s="13">
        <v>110499.65</v>
      </c>
      <c r="X16" s="13">
        <v>1048595.29</v>
      </c>
      <c r="Y16" s="13">
        <v>129865.55</v>
      </c>
      <c r="Z16" s="13">
        <v>432288.21</v>
      </c>
      <c r="AA16" s="13">
        <v>1881211.1</v>
      </c>
      <c r="AB16" s="13">
        <v>38478.75</v>
      </c>
      <c r="AC16" s="13">
        <v>419708.2</v>
      </c>
      <c r="AD16" s="13">
        <v>131732.17000000001</v>
      </c>
      <c r="AE16" s="13">
        <v>275280.73</v>
      </c>
      <c r="AF16" s="13">
        <v>82628.34</v>
      </c>
      <c r="AG16" s="13">
        <v>1805839.56</v>
      </c>
      <c r="AH16" s="13">
        <v>782205</v>
      </c>
      <c r="AI16" s="13">
        <v>125423.45</v>
      </c>
      <c r="AJ16" s="13">
        <v>54044.73</v>
      </c>
      <c r="AK16" s="13">
        <v>369528.94</v>
      </c>
      <c r="AL16" s="13">
        <v>404413.57</v>
      </c>
      <c r="AM16" s="13">
        <v>402344.63</v>
      </c>
      <c r="AN16" s="13">
        <v>48073</v>
      </c>
      <c r="AO16" s="13">
        <v>736051.3</v>
      </c>
      <c r="AP16" s="13">
        <v>189140.61</v>
      </c>
      <c r="AQ16" s="13">
        <v>204892.2</v>
      </c>
      <c r="AR16" s="13">
        <v>462581.2</v>
      </c>
      <c r="AS16" s="13">
        <v>159039.20000000001</v>
      </c>
      <c r="AT16" s="13">
        <v>445115.33</v>
      </c>
      <c r="AU16" s="13">
        <v>116034.5</v>
      </c>
      <c r="AV16" s="13">
        <v>451953.37</v>
      </c>
      <c r="AW16" s="13">
        <v>91769.1</v>
      </c>
      <c r="AX16" s="13">
        <v>96522.7</v>
      </c>
      <c r="AY16" s="13">
        <v>88077.68</v>
      </c>
      <c r="AZ16" s="13">
        <v>526991.5</v>
      </c>
      <c r="BA16" s="13">
        <v>59261.8</v>
      </c>
      <c r="BB16" s="13">
        <v>342609.62</v>
      </c>
      <c r="BC16" s="13">
        <v>4202751.57</v>
      </c>
      <c r="BD16" s="13">
        <v>69561.100000000006</v>
      </c>
      <c r="BE16" s="95">
        <f t="shared" si="8"/>
        <v>35519997.210000001</v>
      </c>
      <c r="BF16" s="95">
        <f t="shared" si="9"/>
        <v>19894578.5</v>
      </c>
      <c r="BG16" s="95">
        <f t="shared" si="10"/>
        <v>6158705.790000001</v>
      </c>
      <c r="BH16" s="95">
        <f t="shared" si="11"/>
        <v>9466712.9199999999</v>
      </c>
    </row>
    <row r="17" spans="3:60" ht="15" x14ac:dyDescent="0.25">
      <c r="D17" s="8">
        <v>1011</v>
      </c>
      <c r="E17" s="8" t="s">
        <v>393</v>
      </c>
      <c r="F17" s="13">
        <v>0</v>
      </c>
      <c r="G17" s="13">
        <v>0</v>
      </c>
      <c r="H17" s="13">
        <v>0</v>
      </c>
      <c r="I17" s="13">
        <v>84863.7</v>
      </c>
      <c r="J17" s="13">
        <v>0</v>
      </c>
      <c r="K17" s="13">
        <v>47412.09</v>
      </c>
      <c r="L17" s="13">
        <v>1383439.19</v>
      </c>
      <c r="M17" s="13">
        <v>311704.06</v>
      </c>
      <c r="N17" s="13">
        <v>12087.68</v>
      </c>
      <c r="O17" s="13">
        <v>55910.36</v>
      </c>
      <c r="P17" s="13">
        <v>724763.4</v>
      </c>
      <c r="Q17" s="13">
        <v>451399.79</v>
      </c>
      <c r="R17" s="13">
        <v>33946.18</v>
      </c>
      <c r="S17" s="13">
        <v>-313.8</v>
      </c>
      <c r="T17" s="13">
        <v>0</v>
      </c>
      <c r="U17" s="13">
        <v>8954.24</v>
      </c>
      <c r="V17" s="13">
        <v>0</v>
      </c>
      <c r="W17" s="13">
        <v>162908.01999999999</v>
      </c>
      <c r="X17" s="13">
        <v>0</v>
      </c>
      <c r="Y17" s="13">
        <v>0</v>
      </c>
      <c r="Z17" s="13">
        <v>0</v>
      </c>
      <c r="AA17" s="13">
        <v>61614.15</v>
      </c>
      <c r="AB17" s="13">
        <v>18480.509999999998</v>
      </c>
      <c r="AC17" s="13">
        <v>0</v>
      </c>
      <c r="AD17" s="13">
        <v>6053.3</v>
      </c>
      <c r="AE17" s="13">
        <v>6738.9</v>
      </c>
      <c r="AF17" s="13">
        <v>0</v>
      </c>
      <c r="AG17" s="13">
        <v>363233.45</v>
      </c>
      <c r="AH17" s="13">
        <v>-248.5</v>
      </c>
      <c r="AI17" s="13">
        <v>586610.35</v>
      </c>
      <c r="AJ17" s="13">
        <v>8248.07</v>
      </c>
      <c r="AK17" s="13">
        <v>0</v>
      </c>
      <c r="AL17" s="13">
        <v>0</v>
      </c>
      <c r="AM17" s="13">
        <v>0</v>
      </c>
      <c r="AN17" s="13">
        <v>0</v>
      </c>
      <c r="AO17" s="13">
        <v>0</v>
      </c>
      <c r="AP17" s="13">
        <v>0</v>
      </c>
      <c r="AQ17" s="13">
        <v>0</v>
      </c>
      <c r="AR17" s="13">
        <v>0</v>
      </c>
      <c r="AS17" s="13">
        <v>0</v>
      </c>
      <c r="AT17" s="13">
        <v>30000.02</v>
      </c>
      <c r="AU17" s="13">
        <v>0</v>
      </c>
      <c r="AV17" s="13">
        <v>119673.29</v>
      </c>
      <c r="AW17" s="13">
        <v>0</v>
      </c>
      <c r="AX17" s="13">
        <v>0</v>
      </c>
      <c r="AY17" s="13">
        <v>5800</v>
      </c>
      <c r="AZ17" s="13">
        <v>28400</v>
      </c>
      <c r="BA17" s="13">
        <v>0</v>
      </c>
      <c r="BB17" s="13">
        <v>0</v>
      </c>
      <c r="BC17" s="13">
        <v>835894.6</v>
      </c>
      <c r="BD17" s="13">
        <v>0</v>
      </c>
      <c r="BE17" s="95">
        <f t="shared" si="8"/>
        <v>5347573.05</v>
      </c>
      <c r="BF17" s="95">
        <f t="shared" si="9"/>
        <v>3277074.9100000006</v>
      </c>
      <c r="BG17" s="95">
        <f t="shared" si="10"/>
        <v>1050730.23</v>
      </c>
      <c r="BH17" s="95">
        <f t="shared" si="11"/>
        <v>1019767.9099999999</v>
      </c>
    </row>
    <row r="18" spans="3:60" ht="15" x14ac:dyDescent="0.25">
      <c r="D18" s="8">
        <v>1012</v>
      </c>
      <c r="E18" s="8" t="s">
        <v>313</v>
      </c>
      <c r="F18" s="13">
        <v>731448.42</v>
      </c>
      <c r="G18" s="13">
        <v>89710.89</v>
      </c>
      <c r="H18" s="13">
        <v>278524.12</v>
      </c>
      <c r="I18" s="13">
        <v>348044.36</v>
      </c>
      <c r="J18" s="13">
        <v>2715141.63</v>
      </c>
      <c r="K18" s="13">
        <v>1862920.95</v>
      </c>
      <c r="L18" s="13">
        <v>1474572.38</v>
      </c>
      <c r="M18" s="13">
        <v>2655869.1</v>
      </c>
      <c r="N18" s="13">
        <v>781177.32</v>
      </c>
      <c r="O18" s="13">
        <v>63858.43</v>
      </c>
      <c r="P18" s="13">
        <v>3201614.96</v>
      </c>
      <c r="Q18" s="13">
        <v>301553.09000000003</v>
      </c>
      <c r="R18" s="13">
        <v>55738.06</v>
      </c>
      <c r="S18" s="13">
        <v>330778.86</v>
      </c>
      <c r="T18" s="13">
        <v>278277.71999999997</v>
      </c>
      <c r="U18" s="13">
        <v>439436.73</v>
      </c>
      <c r="V18" s="13">
        <v>246573.03</v>
      </c>
      <c r="W18" s="13">
        <v>253137.83</v>
      </c>
      <c r="X18" s="13">
        <v>1629609.61</v>
      </c>
      <c r="Y18" s="13">
        <v>229408.05</v>
      </c>
      <c r="Z18" s="13">
        <v>399737.11</v>
      </c>
      <c r="AA18" s="13">
        <v>560937.42000000004</v>
      </c>
      <c r="AB18" s="13">
        <v>66380.95</v>
      </c>
      <c r="AC18" s="13">
        <v>218483.01</v>
      </c>
      <c r="AD18" s="13">
        <v>196361.51</v>
      </c>
      <c r="AE18" s="13">
        <v>181809.28</v>
      </c>
      <c r="AF18" s="13">
        <v>325010.34999999998</v>
      </c>
      <c r="AG18" s="13">
        <v>-169223.44</v>
      </c>
      <c r="AH18" s="13">
        <v>1475138.87</v>
      </c>
      <c r="AI18" s="13">
        <v>273201.75</v>
      </c>
      <c r="AJ18" s="13">
        <v>67731.31</v>
      </c>
      <c r="AK18" s="13">
        <v>2042078.9</v>
      </c>
      <c r="AL18" s="13">
        <v>827287.12</v>
      </c>
      <c r="AM18" s="13">
        <v>1064606.1599999999</v>
      </c>
      <c r="AN18" s="13">
        <v>263751.26</v>
      </c>
      <c r="AO18" s="13">
        <v>1302343.42</v>
      </c>
      <c r="AP18" s="13">
        <v>330971.63</v>
      </c>
      <c r="AQ18" s="13">
        <v>460736.9</v>
      </c>
      <c r="AR18" s="13">
        <v>898044.25</v>
      </c>
      <c r="AS18" s="13">
        <v>694867.79</v>
      </c>
      <c r="AT18" s="13">
        <v>998112.52</v>
      </c>
      <c r="AU18" s="13">
        <v>-74860.490000000005</v>
      </c>
      <c r="AV18" s="13">
        <v>1962609.92</v>
      </c>
      <c r="AW18" s="13">
        <v>723825.31</v>
      </c>
      <c r="AX18" s="13">
        <v>199031.48</v>
      </c>
      <c r="AY18" s="13">
        <v>299898.11</v>
      </c>
      <c r="AZ18" s="13">
        <v>1960643.93</v>
      </c>
      <c r="BA18" s="13">
        <v>360358.84</v>
      </c>
      <c r="BB18" s="13">
        <v>1220183.82</v>
      </c>
      <c r="BC18" s="13">
        <v>5765543.5999999996</v>
      </c>
      <c r="BD18" s="13">
        <v>529845.21</v>
      </c>
      <c r="BE18" s="95">
        <f t="shared" si="8"/>
        <v>43392843.340000004</v>
      </c>
      <c r="BF18" s="95">
        <f t="shared" si="9"/>
        <v>17737987.489999998</v>
      </c>
      <c r="BG18" s="95">
        <f t="shared" si="10"/>
        <v>3824976.1700000004</v>
      </c>
      <c r="BH18" s="95">
        <f t="shared" si="11"/>
        <v>21829879.68</v>
      </c>
    </row>
    <row r="19" spans="3:6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0</v>
      </c>
      <c r="AL19" s="13">
        <v>0</v>
      </c>
      <c r="AM19" s="13">
        <v>0</v>
      </c>
      <c r="AN19" s="13">
        <v>41870.5</v>
      </c>
      <c r="AO19" s="13">
        <v>0</v>
      </c>
      <c r="AP19" s="13">
        <v>0</v>
      </c>
      <c r="AQ19" s="13">
        <v>0</v>
      </c>
      <c r="AR19" s="13">
        <v>0</v>
      </c>
      <c r="AS19" s="13">
        <v>0</v>
      </c>
      <c r="AT19" s="13">
        <v>0</v>
      </c>
      <c r="AU19" s="13">
        <v>0</v>
      </c>
      <c r="AV19" s="13">
        <v>0</v>
      </c>
      <c r="AW19" s="13">
        <v>0</v>
      </c>
      <c r="AX19" s="13">
        <v>0</v>
      </c>
      <c r="AY19" s="13">
        <v>0</v>
      </c>
      <c r="AZ19" s="13">
        <v>0</v>
      </c>
      <c r="BA19" s="13">
        <v>0</v>
      </c>
      <c r="BB19" s="13">
        <v>0</v>
      </c>
      <c r="BC19" s="13">
        <v>258154.45</v>
      </c>
      <c r="BD19" s="13">
        <v>0</v>
      </c>
      <c r="BE19" s="95">
        <f t="shared" si="8"/>
        <v>300024.95</v>
      </c>
      <c r="BF19" s="95">
        <f t="shared" si="9"/>
        <v>0</v>
      </c>
      <c r="BG19" s="95">
        <f t="shared" si="10"/>
        <v>0</v>
      </c>
      <c r="BH19" s="95">
        <f t="shared" si="11"/>
        <v>300024.95</v>
      </c>
    </row>
    <row r="20" spans="3:6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5956.48</v>
      </c>
      <c r="AA20" s="13">
        <v>0</v>
      </c>
      <c r="AB20" s="13">
        <v>1972.2</v>
      </c>
      <c r="AC20" s="13">
        <v>0</v>
      </c>
      <c r="AD20" s="13">
        <v>0</v>
      </c>
      <c r="AE20" s="13">
        <v>0</v>
      </c>
      <c r="AF20" s="13">
        <v>0</v>
      </c>
      <c r="AG20" s="13">
        <v>0</v>
      </c>
      <c r="AH20" s="13">
        <v>0</v>
      </c>
      <c r="AI20" s="13">
        <v>0</v>
      </c>
      <c r="AJ20" s="13">
        <v>0</v>
      </c>
      <c r="AK20" s="13">
        <v>0</v>
      </c>
      <c r="AL20" s="13">
        <v>0</v>
      </c>
      <c r="AM20" s="13">
        <v>562511.76</v>
      </c>
      <c r="AN20" s="13">
        <v>0</v>
      </c>
      <c r="AO20" s="13">
        <v>0</v>
      </c>
      <c r="AP20" s="13">
        <v>0</v>
      </c>
      <c r="AQ20" s="13">
        <v>0</v>
      </c>
      <c r="AR20" s="13">
        <v>646.1</v>
      </c>
      <c r="AS20" s="13">
        <v>0</v>
      </c>
      <c r="AT20" s="13">
        <v>0</v>
      </c>
      <c r="AU20" s="13">
        <v>0</v>
      </c>
      <c r="AV20" s="13">
        <v>0</v>
      </c>
      <c r="AW20" s="13">
        <v>0</v>
      </c>
      <c r="AX20" s="13">
        <v>0</v>
      </c>
      <c r="AY20" s="13">
        <v>0</v>
      </c>
      <c r="AZ20" s="13">
        <v>190705.95</v>
      </c>
      <c r="BA20" s="13">
        <v>0</v>
      </c>
      <c r="BB20" s="13">
        <v>0</v>
      </c>
      <c r="BC20" s="13">
        <v>0</v>
      </c>
      <c r="BD20" s="13">
        <v>0</v>
      </c>
      <c r="BE20" s="95">
        <f t="shared" si="8"/>
        <v>761792.49</v>
      </c>
      <c r="BF20" s="95">
        <f t="shared" si="9"/>
        <v>0</v>
      </c>
      <c r="BG20" s="95">
        <f t="shared" si="10"/>
        <v>7928.6799999999994</v>
      </c>
      <c r="BH20" s="95">
        <f t="shared" si="11"/>
        <v>753863.81</v>
      </c>
    </row>
    <row r="21" spans="3:60" ht="15" x14ac:dyDescent="0.25">
      <c r="D21" s="8">
        <v>1015</v>
      </c>
      <c r="E21" s="8" t="s">
        <v>317</v>
      </c>
      <c r="F21" s="13">
        <v>0</v>
      </c>
      <c r="G21" s="13">
        <v>0</v>
      </c>
      <c r="H21" s="13">
        <v>0</v>
      </c>
      <c r="I21" s="13">
        <v>0</v>
      </c>
      <c r="J21" s="13">
        <v>0</v>
      </c>
      <c r="K21" s="13">
        <v>0</v>
      </c>
      <c r="L21" s="13">
        <v>0</v>
      </c>
      <c r="M21" s="13">
        <v>801589.53</v>
      </c>
      <c r="N21" s="13">
        <v>178.5</v>
      </c>
      <c r="O21" s="13">
        <v>-100</v>
      </c>
      <c r="P21" s="13">
        <v>0</v>
      </c>
      <c r="Q21" s="13">
        <v>0</v>
      </c>
      <c r="R21" s="13">
        <v>0</v>
      </c>
      <c r="S21" s="13">
        <v>0</v>
      </c>
      <c r="T21" s="13">
        <v>0</v>
      </c>
      <c r="U21" s="13">
        <v>48737.25</v>
      </c>
      <c r="V21" s="13">
        <v>0</v>
      </c>
      <c r="W21" s="13">
        <v>0</v>
      </c>
      <c r="X21" s="13">
        <v>228132.99</v>
      </c>
      <c r="Y21" s="13">
        <v>0</v>
      </c>
      <c r="Z21" s="13">
        <v>0</v>
      </c>
      <c r="AA21" s="13">
        <v>0</v>
      </c>
      <c r="AB21" s="13">
        <v>0</v>
      </c>
      <c r="AC21" s="13">
        <v>70334.69</v>
      </c>
      <c r="AD21" s="13">
        <v>0</v>
      </c>
      <c r="AE21" s="13">
        <v>0</v>
      </c>
      <c r="AF21" s="13">
        <v>0</v>
      </c>
      <c r="AG21" s="13">
        <v>0</v>
      </c>
      <c r="AH21" s="13">
        <v>0</v>
      </c>
      <c r="AI21" s="13">
        <v>0</v>
      </c>
      <c r="AJ21" s="13">
        <v>0</v>
      </c>
      <c r="AK21" s="13">
        <v>0</v>
      </c>
      <c r="AL21" s="13">
        <v>0</v>
      </c>
      <c r="AM21" s="13">
        <v>0</v>
      </c>
      <c r="AN21" s="13">
        <v>0</v>
      </c>
      <c r="AO21" s="13">
        <v>0</v>
      </c>
      <c r="AP21" s="13">
        <v>-238.25</v>
      </c>
      <c r="AQ21" s="13">
        <v>0</v>
      </c>
      <c r="AR21" s="13">
        <v>0</v>
      </c>
      <c r="AS21" s="13">
        <v>0</v>
      </c>
      <c r="AT21" s="13">
        <v>61000</v>
      </c>
      <c r="AU21" s="13">
        <v>0</v>
      </c>
      <c r="AV21" s="13">
        <v>216486.23</v>
      </c>
      <c r="AW21" s="13">
        <v>0</v>
      </c>
      <c r="AX21" s="13">
        <v>0</v>
      </c>
      <c r="AY21" s="13">
        <v>0</v>
      </c>
      <c r="AZ21" s="13">
        <v>0</v>
      </c>
      <c r="BA21" s="13">
        <v>0</v>
      </c>
      <c r="BB21" s="13">
        <v>0</v>
      </c>
      <c r="BC21" s="13">
        <v>27534.400000000001</v>
      </c>
      <c r="BD21" s="13">
        <v>0</v>
      </c>
      <c r="BE21" s="95">
        <f t="shared" si="8"/>
        <v>1453655.3399999999</v>
      </c>
      <c r="BF21" s="95">
        <f t="shared" si="9"/>
        <v>1078538.27</v>
      </c>
      <c r="BG21" s="95">
        <f t="shared" si="10"/>
        <v>70334.69</v>
      </c>
      <c r="BH21" s="95">
        <f t="shared" si="11"/>
        <v>304782.38</v>
      </c>
    </row>
    <row r="22" spans="3:6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12000</v>
      </c>
      <c r="AE22" s="13">
        <v>0</v>
      </c>
      <c r="AF22" s="13">
        <v>0</v>
      </c>
      <c r="AG22" s="13">
        <v>0</v>
      </c>
      <c r="AH22" s="13">
        <v>0</v>
      </c>
      <c r="AI22" s="13">
        <v>0</v>
      </c>
      <c r="AJ22" s="13">
        <v>0</v>
      </c>
      <c r="AK22" s="13">
        <v>11634.65</v>
      </c>
      <c r="AL22" s="13">
        <v>0</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95">
        <f t="shared" si="8"/>
        <v>23634.65</v>
      </c>
      <c r="BF22" s="95">
        <f t="shared" si="9"/>
        <v>0</v>
      </c>
      <c r="BG22" s="95">
        <f t="shared" si="10"/>
        <v>12000</v>
      </c>
      <c r="BH22" s="95">
        <f t="shared" si="11"/>
        <v>11634.65</v>
      </c>
    </row>
    <row r="23" spans="3:60" ht="15" x14ac:dyDescent="0.25">
      <c r="D23" s="8">
        <v>1019</v>
      </c>
      <c r="E23" s="8" t="s">
        <v>319</v>
      </c>
      <c r="F23" s="13">
        <v>-125011.07</v>
      </c>
      <c r="G23" s="13">
        <v>3.43</v>
      </c>
      <c r="H23" s="13">
        <v>3.68</v>
      </c>
      <c r="I23" s="13">
        <v>0</v>
      </c>
      <c r="J23" s="13">
        <v>1321.83</v>
      </c>
      <c r="K23" s="13">
        <v>43737.46</v>
      </c>
      <c r="L23" s="13">
        <v>5884.36</v>
      </c>
      <c r="M23" s="13">
        <v>432761.73</v>
      </c>
      <c r="N23" s="13">
        <v>751.61</v>
      </c>
      <c r="O23" s="13">
        <v>0</v>
      </c>
      <c r="P23" s="13">
        <v>9323.9699999999993</v>
      </c>
      <c r="Q23" s="13">
        <v>0</v>
      </c>
      <c r="R23" s="13">
        <v>8.08</v>
      </c>
      <c r="S23" s="13">
        <v>1155.67</v>
      </c>
      <c r="T23" s="13">
        <v>123.69</v>
      </c>
      <c r="U23" s="13">
        <v>1024.8</v>
      </c>
      <c r="V23" s="13">
        <v>0</v>
      </c>
      <c r="W23" s="13">
        <v>0</v>
      </c>
      <c r="X23" s="13">
        <v>152.94</v>
      </c>
      <c r="Y23" s="13">
        <v>0</v>
      </c>
      <c r="Z23" s="13">
        <v>54941.29</v>
      </c>
      <c r="AA23" s="13">
        <v>41486.050000000003</v>
      </c>
      <c r="AB23" s="13">
        <v>567</v>
      </c>
      <c r="AC23" s="13">
        <v>5184.6000000000004</v>
      </c>
      <c r="AD23" s="13">
        <v>8.8000000000000007</v>
      </c>
      <c r="AE23" s="13">
        <v>10534.83</v>
      </c>
      <c r="AF23" s="13">
        <v>3423.35</v>
      </c>
      <c r="AG23" s="13">
        <v>7266.05</v>
      </c>
      <c r="AH23" s="13">
        <v>18721.97</v>
      </c>
      <c r="AI23" s="13">
        <v>142.5</v>
      </c>
      <c r="AJ23" s="13">
        <v>205.2</v>
      </c>
      <c r="AK23" s="13">
        <v>6597.6</v>
      </c>
      <c r="AL23" s="13">
        <v>6192.89</v>
      </c>
      <c r="AM23" s="13">
        <v>1013.03</v>
      </c>
      <c r="AN23" s="13">
        <v>158.06</v>
      </c>
      <c r="AO23" s="13">
        <v>7870.12</v>
      </c>
      <c r="AP23" s="13">
        <v>1552.5</v>
      </c>
      <c r="AQ23" s="13">
        <v>-4.2</v>
      </c>
      <c r="AR23" s="13">
        <v>21292.01</v>
      </c>
      <c r="AS23" s="13">
        <v>2378.85</v>
      </c>
      <c r="AT23" s="13">
        <v>9503.4</v>
      </c>
      <c r="AU23" s="13">
        <v>511.74</v>
      </c>
      <c r="AV23" s="13">
        <v>5136.88</v>
      </c>
      <c r="AW23" s="13">
        <v>1181.25</v>
      </c>
      <c r="AX23" s="13">
        <v>916.05</v>
      </c>
      <c r="AY23" s="13">
        <v>0</v>
      </c>
      <c r="AZ23" s="13">
        <v>2542.54</v>
      </c>
      <c r="BA23" s="13">
        <v>2335.48</v>
      </c>
      <c r="BB23" s="13">
        <v>1193.8699999999999</v>
      </c>
      <c r="BC23" s="13">
        <v>9882.6299999999992</v>
      </c>
      <c r="BD23" s="13">
        <v>631</v>
      </c>
      <c r="BE23" s="95">
        <f t="shared" si="8"/>
        <v>594609.52</v>
      </c>
      <c r="BF23" s="95">
        <f t="shared" si="9"/>
        <v>371242.17999999993</v>
      </c>
      <c r="BG23" s="95">
        <f t="shared" si="10"/>
        <v>142481.64000000001</v>
      </c>
      <c r="BH23" s="95">
        <f t="shared" si="11"/>
        <v>80885.699999999983</v>
      </c>
    </row>
    <row r="24" spans="3:60"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95"/>
      <c r="BF24" s="95"/>
      <c r="BG24" s="95">
        <f t="shared" si="10"/>
        <v>0</v>
      </c>
      <c r="BH24" s="95"/>
    </row>
    <row r="25" spans="3:60" ht="15" x14ac:dyDescent="0.25">
      <c r="C25" s="85">
        <v>102</v>
      </c>
      <c r="D25" s="85"/>
      <c r="E25" s="85" t="s">
        <v>239</v>
      </c>
      <c r="F25" s="107">
        <f>F26+F27+F28+F29</f>
        <v>0</v>
      </c>
      <c r="G25" s="107">
        <f t="shared" ref="G25:BD25" si="12">G26+G27+G28+G29</f>
        <v>0</v>
      </c>
      <c r="H25" s="107">
        <f t="shared" si="12"/>
        <v>0</v>
      </c>
      <c r="I25" s="107">
        <f t="shared" si="12"/>
        <v>0</v>
      </c>
      <c r="J25" s="107">
        <f>J26+J27+J28+J29</f>
        <v>0</v>
      </c>
      <c r="K25" s="107">
        <f t="shared" si="12"/>
        <v>0</v>
      </c>
      <c r="L25" s="107">
        <f t="shared" si="12"/>
        <v>0</v>
      </c>
      <c r="M25" s="107">
        <f t="shared" si="12"/>
        <v>0</v>
      </c>
      <c r="N25" s="107">
        <f t="shared" si="12"/>
        <v>0</v>
      </c>
      <c r="O25" s="107">
        <f t="shared" si="12"/>
        <v>0</v>
      </c>
      <c r="P25" s="107">
        <f t="shared" si="12"/>
        <v>0</v>
      </c>
      <c r="Q25" s="107">
        <f t="shared" si="12"/>
        <v>0</v>
      </c>
      <c r="R25" s="107">
        <f t="shared" si="12"/>
        <v>0</v>
      </c>
      <c r="S25" s="107">
        <f t="shared" si="12"/>
        <v>0</v>
      </c>
      <c r="T25" s="107">
        <f t="shared" si="12"/>
        <v>0</v>
      </c>
      <c r="U25" s="107">
        <f t="shared" si="12"/>
        <v>0</v>
      </c>
      <c r="V25" s="107">
        <f t="shared" si="12"/>
        <v>0</v>
      </c>
      <c r="W25" s="107">
        <f t="shared" si="12"/>
        <v>0</v>
      </c>
      <c r="X25" s="107">
        <f t="shared" si="12"/>
        <v>0</v>
      </c>
      <c r="Y25" s="107">
        <f t="shared" si="12"/>
        <v>0</v>
      </c>
      <c r="Z25" s="107">
        <f t="shared" si="12"/>
        <v>0</v>
      </c>
      <c r="AA25" s="107">
        <f t="shared" si="12"/>
        <v>0</v>
      </c>
      <c r="AB25" s="107">
        <f t="shared" si="12"/>
        <v>600000</v>
      </c>
      <c r="AC25" s="107">
        <f t="shared" si="12"/>
        <v>0</v>
      </c>
      <c r="AD25" s="107">
        <f t="shared" si="12"/>
        <v>0</v>
      </c>
      <c r="AE25" s="107">
        <f t="shared" si="12"/>
        <v>0</v>
      </c>
      <c r="AF25" s="107">
        <f t="shared" si="12"/>
        <v>0</v>
      </c>
      <c r="AG25" s="107">
        <f t="shared" si="12"/>
        <v>1000000</v>
      </c>
      <c r="AH25" s="107">
        <f t="shared" si="12"/>
        <v>0</v>
      </c>
      <c r="AI25" s="107">
        <f t="shared" si="12"/>
        <v>0</v>
      </c>
      <c r="AJ25" s="107">
        <f t="shared" si="12"/>
        <v>300000</v>
      </c>
      <c r="AK25" s="107">
        <f t="shared" si="12"/>
        <v>0</v>
      </c>
      <c r="AL25" s="107">
        <f t="shared" si="12"/>
        <v>0</v>
      </c>
      <c r="AM25" s="107">
        <f t="shared" si="12"/>
        <v>0</v>
      </c>
      <c r="AN25" s="107">
        <f t="shared" si="12"/>
        <v>0</v>
      </c>
      <c r="AO25" s="107">
        <f t="shared" si="12"/>
        <v>0</v>
      </c>
      <c r="AP25" s="107">
        <f t="shared" si="12"/>
        <v>0</v>
      </c>
      <c r="AQ25" s="107">
        <f t="shared" si="12"/>
        <v>0</v>
      </c>
      <c r="AR25" s="107">
        <f t="shared" si="12"/>
        <v>0</v>
      </c>
      <c r="AS25" s="107">
        <f t="shared" si="12"/>
        <v>0</v>
      </c>
      <c r="AT25" s="107">
        <f t="shared" si="12"/>
        <v>0</v>
      </c>
      <c r="AU25" s="107">
        <f t="shared" si="12"/>
        <v>0</v>
      </c>
      <c r="AV25" s="107">
        <f t="shared" si="12"/>
        <v>0</v>
      </c>
      <c r="AW25" s="107">
        <f t="shared" si="12"/>
        <v>0</v>
      </c>
      <c r="AX25" s="107">
        <f t="shared" si="12"/>
        <v>0</v>
      </c>
      <c r="AY25" s="107">
        <f t="shared" si="12"/>
        <v>0</v>
      </c>
      <c r="AZ25" s="107">
        <f t="shared" si="12"/>
        <v>0</v>
      </c>
      <c r="BA25" s="107">
        <f t="shared" si="12"/>
        <v>0</v>
      </c>
      <c r="BB25" s="107">
        <f t="shared" si="12"/>
        <v>0</v>
      </c>
      <c r="BC25" s="107">
        <f t="shared" si="12"/>
        <v>0</v>
      </c>
      <c r="BD25" s="107">
        <f t="shared" si="12"/>
        <v>0</v>
      </c>
      <c r="BE25" s="107">
        <f>SUM(F25:BD25)</f>
        <v>1900000</v>
      </c>
      <c r="BF25" s="107">
        <f>SUM(F25:X25)</f>
        <v>0</v>
      </c>
      <c r="BG25" s="107">
        <f t="shared" si="10"/>
        <v>1900000</v>
      </c>
      <c r="BH25" s="107">
        <f>SUM(AK25:BD25)</f>
        <v>0</v>
      </c>
    </row>
    <row r="26" spans="3:6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95">
        <f>SUM(F26:BD26)</f>
        <v>0</v>
      </c>
      <c r="BF26" s="95">
        <f>SUM(F26:X26)</f>
        <v>0</v>
      </c>
      <c r="BG26" s="95">
        <f t="shared" si="10"/>
        <v>0</v>
      </c>
      <c r="BH26" s="95">
        <f>SUM(AK26:BD26)</f>
        <v>0</v>
      </c>
    </row>
    <row r="27" spans="3:6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95">
        <f>SUM(F27:BD27)</f>
        <v>0</v>
      </c>
      <c r="BF27" s="95">
        <f>SUM(F27:X27)</f>
        <v>0</v>
      </c>
      <c r="BG27" s="95">
        <f t="shared" si="10"/>
        <v>0</v>
      </c>
      <c r="BH27" s="95">
        <f>SUM(AK27:BD27)</f>
        <v>0</v>
      </c>
    </row>
    <row r="28" spans="3:6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600000</v>
      </c>
      <c r="AC28" s="13">
        <v>0</v>
      </c>
      <c r="AD28" s="13">
        <v>0</v>
      </c>
      <c r="AE28" s="13">
        <v>0</v>
      </c>
      <c r="AF28" s="13">
        <v>0</v>
      </c>
      <c r="AG28" s="13">
        <v>1000000</v>
      </c>
      <c r="AH28" s="13">
        <v>0</v>
      </c>
      <c r="AI28" s="13">
        <v>0</v>
      </c>
      <c r="AJ28" s="13">
        <v>300000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95">
        <f>SUM(F28:BD28)</f>
        <v>1900000</v>
      </c>
      <c r="BF28" s="95">
        <f>SUM(F28:X28)</f>
        <v>0</v>
      </c>
      <c r="BG28" s="95">
        <f t="shared" si="10"/>
        <v>1900000</v>
      </c>
      <c r="BH28" s="95">
        <f>SUM(AK28:BD28)</f>
        <v>0</v>
      </c>
    </row>
    <row r="29" spans="3:6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95">
        <f>SUM(F29:BD29)</f>
        <v>0</v>
      </c>
      <c r="BF29" s="95">
        <f>SUM(F29:X29)</f>
        <v>0</v>
      </c>
      <c r="BG29" s="95">
        <f t="shared" si="10"/>
        <v>0</v>
      </c>
      <c r="BH29" s="95">
        <f>SUM(AK29:BD29)</f>
        <v>0</v>
      </c>
    </row>
    <row r="30" spans="3:60"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95"/>
      <c r="BF30" s="95"/>
      <c r="BG30" s="95"/>
      <c r="BH30" s="95"/>
    </row>
    <row r="31" spans="3:60" ht="15" x14ac:dyDescent="0.25">
      <c r="C31" s="85">
        <v>104</v>
      </c>
      <c r="D31" s="85"/>
      <c r="E31" s="85" t="s">
        <v>240</v>
      </c>
      <c r="F31" s="107">
        <f>F32+F33+F34+F35+F36+F37+F38+F39</f>
        <v>151825.37</v>
      </c>
      <c r="G31" s="107">
        <f t="shared" ref="G31:BD31" si="13">G32+G33+G34+G35+G36+G37+G38+G39</f>
        <v>52638.619999999995</v>
      </c>
      <c r="H31" s="107">
        <f t="shared" si="13"/>
        <v>111886.20999999999</v>
      </c>
      <c r="I31" s="107">
        <f t="shared" si="13"/>
        <v>222682.94</v>
      </c>
      <c r="J31" s="107">
        <f t="shared" si="13"/>
        <v>1709214.9300000002</v>
      </c>
      <c r="K31" s="107">
        <f t="shared" si="13"/>
        <v>1789801.0499999998</v>
      </c>
      <c r="L31" s="107">
        <f t="shared" si="13"/>
        <v>313257.90000000002</v>
      </c>
      <c r="M31" s="107">
        <f t="shared" si="13"/>
        <v>7725891.4499999993</v>
      </c>
      <c r="N31" s="107">
        <f t="shared" si="13"/>
        <v>637190.69999999995</v>
      </c>
      <c r="O31" s="107">
        <f t="shared" si="13"/>
        <v>71229.75</v>
      </c>
      <c r="P31" s="107">
        <f t="shared" si="13"/>
        <v>2678967.2000000002</v>
      </c>
      <c r="Q31" s="107">
        <f t="shared" si="13"/>
        <v>88070.62</v>
      </c>
      <c r="R31" s="107">
        <f t="shared" si="13"/>
        <v>23109.200000000001</v>
      </c>
      <c r="S31" s="107">
        <f t="shared" si="13"/>
        <v>40447.83</v>
      </c>
      <c r="T31" s="107">
        <f t="shared" si="13"/>
        <v>72410.680000000008</v>
      </c>
      <c r="U31" s="107">
        <f t="shared" si="13"/>
        <v>232890.01</v>
      </c>
      <c r="V31" s="107">
        <f t="shared" si="13"/>
        <v>12933.449999999999</v>
      </c>
      <c r="W31" s="107">
        <f t="shared" si="13"/>
        <v>682531.75</v>
      </c>
      <c r="X31" s="107">
        <f t="shared" si="13"/>
        <v>1158712.6599999999</v>
      </c>
      <c r="Y31" s="107">
        <f t="shared" si="13"/>
        <v>79661.22</v>
      </c>
      <c r="Z31" s="107">
        <f t="shared" si="13"/>
        <v>276239.96999999997</v>
      </c>
      <c r="AA31" s="107">
        <f t="shared" si="13"/>
        <v>1057749.68</v>
      </c>
      <c r="AB31" s="107">
        <f t="shared" si="13"/>
        <v>91211.45</v>
      </c>
      <c r="AC31" s="107">
        <f t="shared" si="13"/>
        <v>4.7</v>
      </c>
      <c r="AD31" s="107">
        <f t="shared" si="13"/>
        <v>368713.23</v>
      </c>
      <c r="AE31" s="107">
        <f t="shared" si="13"/>
        <v>117646.29999999999</v>
      </c>
      <c r="AF31" s="107">
        <f t="shared" si="13"/>
        <v>141863.45000000001</v>
      </c>
      <c r="AG31" s="107">
        <f t="shared" si="13"/>
        <v>514817.37</v>
      </c>
      <c r="AH31" s="107">
        <f t="shared" si="13"/>
        <v>331255.98</v>
      </c>
      <c r="AI31" s="107">
        <f t="shared" si="13"/>
        <v>36376.850000000006</v>
      </c>
      <c r="AJ31" s="107">
        <f t="shared" si="13"/>
        <v>40697.530000000006</v>
      </c>
      <c r="AK31" s="107">
        <f t="shared" si="13"/>
        <v>694831.66</v>
      </c>
      <c r="AL31" s="107">
        <f t="shared" si="13"/>
        <v>145533.16</v>
      </c>
      <c r="AM31" s="107">
        <f t="shared" si="13"/>
        <v>674096.57000000007</v>
      </c>
      <c r="AN31" s="107">
        <f t="shared" si="13"/>
        <v>39349.440000000002</v>
      </c>
      <c r="AO31" s="107">
        <f t="shared" si="13"/>
        <v>539022.52</v>
      </c>
      <c r="AP31" s="107">
        <f t="shared" si="13"/>
        <v>994288.77</v>
      </c>
      <c r="AQ31" s="107">
        <f t="shared" si="13"/>
        <v>610925</v>
      </c>
      <c r="AR31" s="107">
        <f t="shared" si="13"/>
        <v>1373641.19</v>
      </c>
      <c r="AS31" s="107">
        <f t="shared" si="13"/>
        <v>33480.199999999997</v>
      </c>
      <c r="AT31" s="107">
        <f t="shared" si="13"/>
        <v>555216.37</v>
      </c>
      <c r="AU31" s="107">
        <f t="shared" si="13"/>
        <v>47049.63</v>
      </c>
      <c r="AV31" s="107">
        <f t="shared" si="13"/>
        <v>627768.76</v>
      </c>
      <c r="AW31" s="107">
        <f t="shared" si="13"/>
        <v>102222.64</v>
      </c>
      <c r="AX31" s="107">
        <f t="shared" si="13"/>
        <v>260238.06</v>
      </c>
      <c r="AY31" s="107">
        <f t="shared" si="13"/>
        <v>139237.68</v>
      </c>
      <c r="AZ31" s="107">
        <f t="shared" si="13"/>
        <v>486211.7</v>
      </c>
      <c r="BA31" s="107">
        <f t="shared" si="13"/>
        <v>215413.59000000003</v>
      </c>
      <c r="BB31" s="107">
        <f t="shared" si="13"/>
        <v>218568.05</v>
      </c>
      <c r="BC31" s="107">
        <f t="shared" si="13"/>
        <v>2329542.67</v>
      </c>
      <c r="BD31" s="107">
        <f t="shared" si="13"/>
        <v>183345.59</v>
      </c>
      <c r="BE31" s="107">
        <f t="shared" ref="BE31:BE39" si="14">SUM(F31:BD31)</f>
        <v>31101913.299999993</v>
      </c>
      <c r="BF31" s="107">
        <f t="shared" ref="BF31:BF39" si="15">SUM(F31:X31)</f>
        <v>17775692.319999993</v>
      </c>
      <c r="BG31" s="107">
        <f t="shared" ref="BG31:BG39" si="16">SUM(Y31:AJ31)</f>
        <v>3056237.73</v>
      </c>
      <c r="BH31" s="107">
        <f t="shared" ref="BH31:BH39" si="17">SUM(AK31:BD31)</f>
        <v>10269983.25</v>
      </c>
    </row>
    <row r="32" spans="3:60" ht="15" x14ac:dyDescent="0.25">
      <c r="D32" s="8">
        <v>1040</v>
      </c>
      <c r="E32" s="8" t="s">
        <v>60</v>
      </c>
      <c r="F32" s="13">
        <v>0</v>
      </c>
      <c r="G32" s="13">
        <v>0</v>
      </c>
      <c r="H32" s="13">
        <v>0</v>
      </c>
      <c r="I32" s="13">
        <v>0</v>
      </c>
      <c r="J32" s="13">
        <v>0</v>
      </c>
      <c r="K32" s="13">
        <v>1036.9000000000001</v>
      </c>
      <c r="L32" s="13">
        <v>0</v>
      </c>
      <c r="M32" s="13">
        <v>0</v>
      </c>
      <c r="N32" s="13">
        <v>0</v>
      </c>
      <c r="O32" s="13">
        <v>0</v>
      </c>
      <c r="P32" s="13">
        <v>0</v>
      </c>
      <c r="Q32" s="13">
        <v>0</v>
      </c>
      <c r="R32" s="13">
        <v>0</v>
      </c>
      <c r="S32" s="13">
        <v>0</v>
      </c>
      <c r="T32" s="13">
        <v>141.05000000000001</v>
      </c>
      <c r="U32" s="13">
        <v>1996.3</v>
      </c>
      <c r="V32" s="13">
        <v>0</v>
      </c>
      <c r="W32" s="13">
        <v>1528.5</v>
      </c>
      <c r="X32" s="13">
        <v>0</v>
      </c>
      <c r="Y32" s="13">
        <v>0</v>
      </c>
      <c r="Z32" s="13">
        <v>0</v>
      </c>
      <c r="AA32" s="13">
        <v>0</v>
      </c>
      <c r="AB32" s="13">
        <v>46.85</v>
      </c>
      <c r="AC32" s="13">
        <v>0</v>
      </c>
      <c r="AD32" s="13">
        <v>5051.43</v>
      </c>
      <c r="AE32" s="13">
        <v>2905.4</v>
      </c>
      <c r="AF32" s="13">
        <v>0</v>
      </c>
      <c r="AG32" s="13">
        <v>0</v>
      </c>
      <c r="AH32" s="13">
        <v>1860.3</v>
      </c>
      <c r="AI32" s="13">
        <v>0</v>
      </c>
      <c r="AJ32" s="13">
        <v>272</v>
      </c>
      <c r="AK32" s="13">
        <v>0</v>
      </c>
      <c r="AL32" s="13">
        <v>0</v>
      </c>
      <c r="AM32" s="13">
        <v>0</v>
      </c>
      <c r="AN32" s="13">
        <v>0</v>
      </c>
      <c r="AO32" s="13">
        <v>0</v>
      </c>
      <c r="AP32" s="13">
        <v>0</v>
      </c>
      <c r="AQ32" s="13">
        <v>0</v>
      </c>
      <c r="AR32" s="13">
        <v>0</v>
      </c>
      <c r="AS32" s="13">
        <v>0</v>
      </c>
      <c r="AT32" s="13">
        <v>0</v>
      </c>
      <c r="AU32" s="13">
        <v>0</v>
      </c>
      <c r="AV32" s="13">
        <v>0</v>
      </c>
      <c r="AW32" s="13">
        <v>0</v>
      </c>
      <c r="AX32" s="13">
        <v>0</v>
      </c>
      <c r="AY32" s="13">
        <v>0</v>
      </c>
      <c r="AZ32" s="13">
        <v>0</v>
      </c>
      <c r="BA32" s="13">
        <v>0</v>
      </c>
      <c r="BB32" s="13">
        <v>0</v>
      </c>
      <c r="BC32" s="13">
        <v>62866.62</v>
      </c>
      <c r="BD32" s="13">
        <v>0</v>
      </c>
      <c r="BE32" s="95">
        <f t="shared" si="14"/>
        <v>77705.350000000006</v>
      </c>
      <c r="BF32" s="95">
        <f t="shared" si="15"/>
        <v>4702.75</v>
      </c>
      <c r="BG32" s="95">
        <f t="shared" si="16"/>
        <v>10135.98</v>
      </c>
      <c r="BH32" s="95">
        <f t="shared" si="17"/>
        <v>62866.62</v>
      </c>
    </row>
    <row r="33" spans="3:60" ht="15" x14ac:dyDescent="0.25">
      <c r="D33" s="8">
        <v>1041</v>
      </c>
      <c r="E33" s="8" t="s">
        <v>324</v>
      </c>
      <c r="F33" s="13">
        <v>84988.7</v>
      </c>
      <c r="G33" s="13">
        <v>34563.17</v>
      </c>
      <c r="H33" s="13">
        <v>67724.75</v>
      </c>
      <c r="I33" s="13">
        <v>0</v>
      </c>
      <c r="J33" s="13">
        <v>99203.55</v>
      </c>
      <c r="K33" s="13">
        <v>199083.68</v>
      </c>
      <c r="L33" s="13">
        <v>289487.75</v>
      </c>
      <c r="M33" s="13">
        <v>2507647.86</v>
      </c>
      <c r="N33" s="13">
        <v>413360.55</v>
      </c>
      <c r="O33" s="13">
        <v>23044.35</v>
      </c>
      <c r="P33" s="13">
        <v>211959.28</v>
      </c>
      <c r="Q33" s="13">
        <v>88070.62</v>
      </c>
      <c r="R33" s="13">
        <v>0</v>
      </c>
      <c r="S33" s="13">
        <v>6376.1</v>
      </c>
      <c r="T33" s="13">
        <v>39727.300000000003</v>
      </c>
      <c r="U33" s="13">
        <v>2927.65</v>
      </c>
      <c r="V33" s="13">
        <v>8561</v>
      </c>
      <c r="W33" s="13">
        <v>53149.3</v>
      </c>
      <c r="X33" s="13">
        <v>575569.26</v>
      </c>
      <c r="Y33" s="13">
        <v>0</v>
      </c>
      <c r="Z33" s="13">
        <v>85480.8</v>
      </c>
      <c r="AA33" s="13">
        <v>1057749.68</v>
      </c>
      <c r="AB33" s="13">
        <v>10105.65</v>
      </c>
      <c r="AC33" s="13">
        <v>4.7</v>
      </c>
      <c r="AD33" s="13">
        <v>197577.5</v>
      </c>
      <c r="AE33" s="13">
        <v>84269.2</v>
      </c>
      <c r="AF33" s="13">
        <v>141863.45000000001</v>
      </c>
      <c r="AG33" s="13">
        <v>102356.72</v>
      </c>
      <c r="AH33" s="13">
        <v>6619.95</v>
      </c>
      <c r="AI33" s="13">
        <v>28343.95</v>
      </c>
      <c r="AJ33" s="13">
        <v>7254.38</v>
      </c>
      <c r="AK33" s="13">
        <v>0</v>
      </c>
      <c r="AL33" s="13">
        <v>145533.16</v>
      </c>
      <c r="AM33" s="13">
        <v>264847.25</v>
      </c>
      <c r="AN33" s="13">
        <v>22601.3</v>
      </c>
      <c r="AO33" s="13">
        <v>173844.75</v>
      </c>
      <c r="AP33" s="13">
        <v>1000738.72</v>
      </c>
      <c r="AQ33" s="13">
        <v>96345.65</v>
      </c>
      <c r="AR33" s="13">
        <v>0</v>
      </c>
      <c r="AS33" s="13">
        <v>33480.199999999997</v>
      </c>
      <c r="AT33" s="13">
        <v>23840.05</v>
      </c>
      <c r="AU33" s="13">
        <v>7770.53</v>
      </c>
      <c r="AV33" s="13">
        <v>591332.91</v>
      </c>
      <c r="AW33" s="13">
        <v>102222.64</v>
      </c>
      <c r="AX33" s="13">
        <v>193516.1</v>
      </c>
      <c r="AY33" s="13">
        <v>15402.15</v>
      </c>
      <c r="AZ33" s="13">
        <v>486211.7</v>
      </c>
      <c r="BA33" s="13">
        <v>84374.3</v>
      </c>
      <c r="BB33" s="13">
        <v>180631.4</v>
      </c>
      <c r="BC33" s="13">
        <v>251439.57</v>
      </c>
      <c r="BD33" s="13">
        <v>26306.9</v>
      </c>
      <c r="BE33" s="95">
        <f t="shared" si="14"/>
        <v>10127510.130000001</v>
      </c>
      <c r="BF33" s="95">
        <f t="shared" si="15"/>
        <v>4705444.8699999992</v>
      </c>
      <c r="BG33" s="95">
        <f t="shared" si="16"/>
        <v>1721625.9799999995</v>
      </c>
      <c r="BH33" s="95">
        <f t="shared" si="17"/>
        <v>3700439.28</v>
      </c>
    </row>
    <row r="34" spans="3:60" ht="15" x14ac:dyDescent="0.25">
      <c r="D34" s="8">
        <v>1042</v>
      </c>
      <c r="E34" s="8" t="s">
        <v>325</v>
      </c>
      <c r="F34" s="13">
        <v>66836.600000000006</v>
      </c>
      <c r="G34" s="13">
        <v>16268.45</v>
      </c>
      <c r="H34" s="13">
        <v>14751</v>
      </c>
      <c r="I34" s="13">
        <v>8865.65</v>
      </c>
      <c r="J34" s="13">
        <v>9983.85</v>
      </c>
      <c r="K34" s="13">
        <v>605797.87</v>
      </c>
      <c r="L34" s="13">
        <v>0</v>
      </c>
      <c r="M34" s="13">
        <v>360767.95</v>
      </c>
      <c r="N34" s="13">
        <v>60307.75</v>
      </c>
      <c r="O34" s="13">
        <v>0</v>
      </c>
      <c r="P34" s="13">
        <v>1172160.72</v>
      </c>
      <c r="Q34" s="13">
        <v>0</v>
      </c>
      <c r="R34" s="13">
        <v>16644.490000000002</v>
      </c>
      <c r="S34" s="13">
        <v>34071.730000000003</v>
      </c>
      <c r="T34" s="13">
        <v>32542.33</v>
      </c>
      <c r="U34" s="13">
        <v>227966.06</v>
      </c>
      <c r="V34" s="13">
        <v>1039.8</v>
      </c>
      <c r="W34" s="13">
        <v>92929.3</v>
      </c>
      <c r="X34" s="13">
        <v>462012.05</v>
      </c>
      <c r="Y34" s="13">
        <v>58638.37</v>
      </c>
      <c r="Z34" s="13">
        <v>34230.6</v>
      </c>
      <c r="AA34" s="13">
        <v>0</v>
      </c>
      <c r="AB34" s="13">
        <v>0</v>
      </c>
      <c r="AC34" s="13">
        <v>0</v>
      </c>
      <c r="AD34" s="13">
        <v>29920.2</v>
      </c>
      <c r="AE34" s="13">
        <v>30471.7</v>
      </c>
      <c r="AF34" s="13">
        <v>0</v>
      </c>
      <c r="AG34" s="13">
        <v>32460.65</v>
      </c>
      <c r="AH34" s="13">
        <v>189718.85</v>
      </c>
      <c r="AI34" s="13">
        <v>32.9</v>
      </c>
      <c r="AJ34" s="13">
        <v>13494.45</v>
      </c>
      <c r="AK34" s="13">
        <v>1694.75</v>
      </c>
      <c r="AL34" s="13">
        <v>0</v>
      </c>
      <c r="AM34" s="13">
        <v>0</v>
      </c>
      <c r="AN34" s="13">
        <v>16748.14</v>
      </c>
      <c r="AO34" s="13">
        <v>365177.77</v>
      </c>
      <c r="AP34" s="13">
        <v>-6449.95</v>
      </c>
      <c r="AQ34" s="13">
        <v>0</v>
      </c>
      <c r="AR34" s="13">
        <v>0</v>
      </c>
      <c r="AS34" s="13">
        <v>0</v>
      </c>
      <c r="AT34" s="13">
        <v>237375.14</v>
      </c>
      <c r="AU34" s="13">
        <v>12929.2</v>
      </c>
      <c r="AV34" s="13">
        <v>40333.599999999999</v>
      </c>
      <c r="AW34" s="13">
        <v>0</v>
      </c>
      <c r="AX34" s="13">
        <v>46721.96</v>
      </c>
      <c r="AY34" s="13">
        <v>0</v>
      </c>
      <c r="AZ34" s="13">
        <v>0</v>
      </c>
      <c r="BA34" s="13">
        <v>49421.9</v>
      </c>
      <c r="BB34" s="13">
        <v>6639</v>
      </c>
      <c r="BC34" s="13">
        <v>0</v>
      </c>
      <c r="BD34" s="13">
        <v>109626.92</v>
      </c>
      <c r="BE34" s="95">
        <f t="shared" si="14"/>
        <v>4452131.75</v>
      </c>
      <c r="BF34" s="95">
        <f t="shared" si="15"/>
        <v>3182945.5999999996</v>
      </c>
      <c r="BG34" s="95">
        <f t="shared" si="16"/>
        <v>388967.72000000003</v>
      </c>
      <c r="BH34" s="95">
        <f t="shared" si="17"/>
        <v>880218.43</v>
      </c>
    </row>
    <row r="35" spans="3:60" ht="15" x14ac:dyDescent="0.25">
      <c r="D35" s="8">
        <v>1043</v>
      </c>
      <c r="E35" s="8" t="s">
        <v>326</v>
      </c>
      <c r="F35" s="13">
        <v>7.0000000000000007E-2</v>
      </c>
      <c r="G35" s="13">
        <v>1807</v>
      </c>
      <c r="H35" s="13">
        <v>29410.46</v>
      </c>
      <c r="I35" s="13">
        <v>0</v>
      </c>
      <c r="J35" s="13">
        <v>960873.8</v>
      </c>
      <c r="K35" s="13">
        <v>983144.6</v>
      </c>
      <c r="L35" s="13">
        <v>23770.15</v>
      </c>
      <c r="M35" s="13">
        <v>3493182.2</v>
      </c>
      <c r="N35" s="13">
        <v>163522.4</v>
      </c>
      <c r="O35" s="13">
        <v>48185.4</v>
      </c>
      <c r="P35" s="13">
        <v>112998.2</v>
      </c>
      <c r="Q35" s="13">
        <v>0</v>
      </c>
      <c r="R35" s="13">
        <v>6239.71</v>
      </c>
      <c r="S35" s="13">
        <v>0</v>
      </c>
      <c r="T35" s="13">
        <v>0</v>
      </c>
      <c r="U35" s="13">
        <v>0</v>
      </c>
      <c r="V35" s="13">
        <v>3332.65</v>
      </c>
      <c r="W35" s="13">
        <v>534924.65</v>
      </c>
      <c r="X35" s="13">
        <v>87542.7</v>
      </c>
      <c r="Y35" s="13">
        <v>19910.3</v>
      </c>
      <c r="Z35" s="13">
        <v>156528.57</v>
      </c>
      <c r="AA35" s="13">
        <v>0</v>
      </c>
      <c r="AB35" s="13">
        <v>80111.149999999994</v>
      </c>
      <c r="AC35" s="13">
        <v>0</v>
      </c>
      <c r="AD35" s="13">
        <v>9069.1</v>
      </c>
      <c r="AE35" s="13">
        <v>0</v>
      </c>
      <c r="AF35" s="13">
        <v>0</v>
      </c>
      <c r="AG35" s="13">
        <v>380000</v>
      </c>
      <c r="AH35" s="13">
        <v>118711.78</v>
      </c>
      <c r="AI35" s="13">
        <v>8000</v>
      </c>
      <c r="AJ35" s="13">
        <v>13333.8</v>
      </c>
      <c r="AK35" s="13">
        <v>693136.91</v>
      </c>
      <c r="AL35" s="13">
        <v>0</v>
      </c>
      <c r="AM35" s="13">
        <v>409249.32</v>
      </c>
      <c r="AN35" s="13">
        <v>0</v>
      </c>
      <c r="AO35" s="13">
        <v>0</v>
      </c>
      <c r="AP35" s="13">
        <v>0</v>
      </c>
      <c r="AQ35" s="13">
        <v>0</v>
      </c>
      <c r="AR35" s="13">
        <v>0</v>
      </c>
      <c r="AS35" s="13">
        <v>0</v>
      </c>
      <c r="AT35" s="13">
        <v>294001.18</v>
      </c>
      <c r="AU35" s="13">
        <v>14162</v>
      </c>
      <c r="AV35" s="13">
        <v>-3897.75</v>
      </c>
      <c r="AW35" s="13">
        <v>0</v>
      </c>
      <c r="AX35" s="13">
        <v>0</v>
      </c>
      <c r="AY35" s="13">
        <v>10300.66</v>
      </c>
      <c r="AZ35" s="13">
        <v>0</v>
      </c>
      <c r="BA35" s="13">
        <v>0</v>
      </c>
      <c r="BB35" s="13">
        <v>31297.65</v>
      </c>
      <c r="BC35" s="13">
        <v>2015236.48</v>
      </c>
      <c r="BD35" s="13">
        <v>47411.77</v>
      </c>
      <c r="BE35" s="95">
        <f t="shared" si="14"/>
        <v>10745496.910000004</v>
      </c>
      <c r="BF35" s="95">
        <f t="shared" si="15"/>
        <v>6448933.9900000021</v>
      </c>
      <c r="BG35" s="95">
        <f t="shared" si="16"/>
        <v>785664.70000000007</v>
      </c>
      <c r="BH35" s="95">
        <f t="shared" si="17"/>
        <v>3510898.2199999997</v>
      </c>
    </row>
    <row r="36" spans="3:60" ht="15" x14ac:dyDescent="0.25">
      <c r="D36" s="8">
        <v>1044</v>
      </c>
      <c r="E36" s="8" t="s">
        <v>327</v>
      </c>
      <c r="F36" s="13">
        <v>0</v>
      </c>
      <c r="G36" s="13">
        <v>0</v>
      </c>
      <c r="H36" s="13">
        <v>0</v>
      </c>
      <c r="I36" s="13">
        <v>0</v>
      </c>
      <c r="J36" s="13">
        <v>13025.35</v>
      </c>
      <c r="K36" s="13">
        <v>738</v>
      </c>
      <c r="L36" s="13">
        <v>0</v>
      </c>
      <c r="M36" s="13">
        <v>0</v>
      </c>
      <c r="N36" s="13">
        <v>0</v>
      </c>
      <c r="O36" s="13">
        <v>0</v>
      </c>
      <c r="P36" s="13">
        <v>0</v>
      </c>
      <c r="Q36" s="13">
        <v>0</v>
      </c>
      <c r="R36" s="13">
        <v>0</v>
      </c>
      <c r="S36" s="13">
        <v>0</v>
      </c>
      <c r="T36" s="13">
        <v>0</v>
      </c>
      <c r="U36" s="13">
        <v>0</v>
      </c>
      <c r="V36" s="13">
        <v>0</v>
      </c>
      <c r="W36" s="13">
        <v>0</v>
      </c>
      <c r="X36" s="13">
        <v>33588.65</v>
      </c>
      <c r="Y36" s="13">
        <v>1097.55</v>
      </c>
      <c r="Z36" s="13">
        <v>0</v>
      </c>
      <c r="AA36" s="13">
        <v>0</v>
      </c>
      <c r="AB36" s="13">
        <v>758.8</v>
      </c>
      <c r="AC36" s="13">
        <v>0</v>
      </c>
      <c r="AD36" s="13">
        <v>0</v>
      </c>
      <c r="AE36" s="13">
        <v>0</v>
      </c>
      <c r="AF36" s="13">
        <v>0</v>
      </c>
      <c r="AG36" s="13">
        <v>0</v>
      </c>
      <c r="AH36" s="13">
        <v>0</v>
      </c>
      <c r="AI36" s="13">
        <v>0</v>
      </c>
      <c r="AJ36" s="13">
        <v>6318.75</v>
      </c>
      <c r="AK36" s="13">
        <v>0</v>
      </c>
      <c r="AL36" s="13">
        <v>0</v>
      </c>
      <c r="AM36" s="13">
        <v>0</v>
      </c>
      <c r="AN36" s="13">
        <v>0</v>
      </c>
      <c r="AO36" s="13">
        <v>0</v>
      </c>
      <c r="AP36" s="13">
        <v>0</v>
      </c>
      <c r="AQ36" s="13">
        <v>49368.35</v>
      </c>
      <c r="AR36" s="13">
        <v>0</v>
      </c>
      <c r="AS36" s="13">
        <v>0</v>
      </c>
      <c r="AT36" s="13">
        <v>0</v>
      </c>
      <c r="AU36" s="13">
        <v>0</v>
      </c>
      <c r="AV36" s="13">
        <v>0</v>
      </c>
      <c r="AW36" s="13">
        <v>0</v>
      </c>
      <c r="AX36" s="13">
        <v>0</v>
      </c>
      <c r="AY36" s="13">
        <v>113534.87</v>
      </c>
      <c r="AZ36" s="13">
        <v>0</v>
      </c>
      <c r="BA36" s="13">
        <v>0</v>
      </c>
      <c r="BB36" s="13">
        <v>0</v>
      </c>
      <c r="BC36" s="13">
        <v>0</v>
      </c>
      <c r="BD36" s="13">
        <v>0</v>
      </c>
      <c r="BE36" s="95">
        <f t="shared" si="14"/>
        <v>218430.32</v>
      </c>
      <c r="BF36" s="95">
        <f t="shared" si="15"/>
        <v>47352</v>
      </c>
      <c r="BG36" s="95">
        <f t="shared" si="16"/>
        <v>8175.1</v>
      </c>
      <c r="BH36" s="95">
        <f t="shared" si="17"/>
        <v>162903.22</v>
      </c>
    </row>
    <row r="37" spans="3:60" ht="15" x14ac:dyDescent="0.25">
      <c r="D37" s="8">
        <v>1045</v>
      </c>
      <c r="E37" s="8" t="s">
        <v>328</v>
      </c>
      <c r="F37" s="13">
        <v>0</v>
      </c>
      <c r="G37" s="13">
        <v>0</v>
      </c>
      <c r="H37" s="13">
        <v>0</v>
      </c>
      <c r="I37" s="13">
        <v>213817.29</v>
      </c>
      <c r="J37" s="13">
        <v>0</v>
      </c>
      <c r="K37" s="13">
        <v>0</v>
      </c>
      <c r="L37" s="13">
        <v>0</v>
      </c>
      <c r="M37" s="13">
        <v>1364293.44</v>
      </c>
      <c r="N37" s="13">
        <v>0</v>
      </c>
      <c r="O37" s="13">
        <v>0</v>
      </c>
      <c r="P37" s="13">
        <v>0</v>
      </c>
      <c r="Q37" s="13">
        <v>0</v>
      </c>
      <c r="R37" s="13">
        <v>225</v>
      </c>
      <c r="S37" s="13">
        <v>0</v>
      </c>
      <c r="T37" s="13">
        <v>0</v>
      </c>
      <c r="U37" s="13">
        <v>0</v>
      </c>
      <c r="V37" s="13">
        <v>0</v>
      </c>
      <c r="W37" s="13">
        <v>0</v>
      </c>
      <c r="X37" s="13">
        <v>0</v>
      </c>
      <c r="Y37" s="13">
        <v>15</v>
      </c>
      <c r="Z37" s="13">
        <v>0</v>
      </c>
      <c r="AA37" s="13">
        <v>0</v>
      </c>
      <c r="AB37" s="13">
        <v>189</v>
      </c>
      <c r="AC37" s="13">
        <v>0</v>
      </c>
      <c r="AD37" s="13">
        <v>0</v>
      </c>
      <c r="AE37" s="13">
        <v>0</v>
      </c>
      <c r="AF37" s="13">
        <v>0</v>
      </c>
      <c r="AG37" s="13">
        <v>0</v>
      </c>
      <c r="AH37" s="13">
        <v>13973.1</v>
      </c>
      <c r="AI37" s="13">
        <v>0</v>
      </c>
      <c r="AJ37" s="13">
        <v>24.15</v>
      </c>
      <c r="AK37" s="13">
        <v>0</v>
      </c>
      <c r="AL37" s="13">
        <v>0</v>
      </c>
      <c r="AM37" s="13">
        <v>0</v>
      </c>
      <c r="AN37" s="13">
        <v>0</v>
      </c>
      <c r="AO37" s="13">
        <v>0</v>
      </c>
      <c r="AP37" s="13">
        <v>0</v>
      </c>
      <c r="AQ37" s="13">
        <v>0</v>
      </c>
      <c r="AR37" s="13">
        <v>1373588.14</v>
      </c>
      <c r="AS37" s="13">
        <v>0</v>
      </c>
      <c r="AT37" s="13">
        <v>0</v>
      </c>
      <c r="AU37" s="13">
        <v>12187.9</v>
      </c>
      <c r="AV37" s="13">
        <v>0</v>
      </c>
      <c r="AW37" s="13">
        <v>0</v>
      </c>
      <c r="AX37" s="13">
        <v>0</v>
      </c>
      <c r="AY37" s="13">
        <v>0</v>
      </c>
      <c r="AZ37" s="13">
        <v>0</v>
      </c>
      <c r="BA37" s="13">
        <v>0</v>
      </c>
      <c r="BB37" s="13">
        <v>0</v>
      </c>
      <c r="BC37" s="13">
        <v>0</v>
      </c>
      <c r="BD37" s="13">
        <v>0</v>
      </c>
      <c r="BE37" s="95">
        <f t="shared" si="14"/>
        <v>2978313.02</v>
      </c>
      <c r="BF37" s="95">
        <f t="shared" si="15"/>
        <v>1578335.73</v>
      </c>
      <c r="BG37" s="95">
        <f t="shared" si="16"/>
        <v>14201.25</v>
      </c>
      <c r="BH37" s="95">
        <f t="shared" si="17"/>
        <v>1385776.0399999998</v>
      </c>
    </row>
    <row r="38" spans="3:60" ht="15" x14ac:dyDescent="0.25">
      <c r="D38" s="8">
        <v>1046</v>
      </c>
      <c r="E38" s="8" t="s">
        <v>329</v>
      </c>
      <c r="F38" s="13">
        <v>0</v>
      </c>
      <c r="G38" s="13">
        <v>0</v>
      </c>
      <c r="H38" s="13">
        <v>0</v>
      </c>
      <c r="I38" s="13">
        <v>0</v>
      </c>
      <c r="J38" s="13">
        <v>0</v>
      </c>
      <c r="K38" s="13">
        <v>0</v>
      </c>
      <c r="L38" s="13">
        <v>0</v>
      </c>
      <c r="M38" s="13">
        <v>0</v>
      </c>
      <c r="N38" s="13">
        <v>0</v>
      </c>
      <c r="O38" s="13">
        <v>0</v>
      </c>
      <c r="P38" s="13">
        <v>1181849</v>
      </c>
      <c r="Q38" s="13">
        <v>0</v>
      </c>
      <c r="R38" s="13">
        <v>0</v>
      </c>
      <c r="S38" s="13">
        <v>0</v>
      </c>
      <c r="T38" s="13">
        <v>0</v>
      </c>
      <c r="U38" s="13">
        <v>0</v>
      </c>
      <c r="V38" s="13">
        <v>0</v>
      </c>
      <c r="W38" s="13">
        <v>0</v>
      </c>
      <c r="X38" s="13">
        <v>0</v>
      </c>
      <c r="Y38" s="13">
        <v>0</v>
      </c>
      <c r="Z38" s="13">
        <v>0</v>
      </c>
      <c r="AA38" s="13">
        <v>0</v>
      </c>
      <c r="AB38" s="13">
        <v>0</v>
      </c>
      <c r="AC38" s="13">
        <v>0</v>
      </c>
      <c r="AD38" s="13">
        <v>127095</v>
      </c>
      <c r="AE38" s="13">
        <v>0</v>
      </c>
      <c r="AF38" s="13">
        <v>0</v>
      </c>
      <c r="AG38" s="13">
        <v>0</v>
      </c>
      <c r="AH38" s="13">
        <v>372</v>
      </c>
      <c r="AI38" s="13">
        <v>0</v>
      </c>
      <c r="AJ38" s="13">
        <v>0</v>
      </c>
      <c r="AK38" s="13">
        <v>0</v>
      </c>
      <c r="AL38" s="13">
        <v>0</v>
      </c>
      <c r="AM38" s="13">
        <v>0</v>
      </c>
      <c r="AN38" s="13">
        <v>0</v>
      </c>
      <c r="AO38" s="13">
        <v>0</v>
      </c>
      <c r="AP38" s="13">
        <v>0</v>
      </c>
      <c r="AQ38" s="13">
        <v>465211</v>
      </c>
      <c r="AR38" s="13">
        <v>0</v>
      </c>
      <c r="AS38" s="13">
        <v>0</v>
      </c>
      <c r="AT38" s="13">
        <v>0</v>
      </c>
      <c r="AU38" s="13">
        <v>0</v>
      </c>
      <c r="AV38" s="13">
        <v>0</v>
      </c>
      <c r="AW38" s="13">
        <v>0</v>
      </c>
      <c r="AX38" s="13">
        <v>20000</v>
      </c>
      <c r="AY38" s="13">
        <v>0</v>
      </c>
      <c r="AZ38" s="13">
        <v>0</v>
      </c>
      <c r="BA38" s="13">
        <v>0</v>
      </c>
      <c r="BB38" s="13">
        <v>0</v>
      </c>
      <c r="BC38" s="13">
        <v>0</v>
      </c>
      <c r="BD38" s="13">
        <v>0</v>
      </c>
      <c r="BE38" s="95">
        <f t="shared" si="14"/>
        <v>1794527</v>
      </c>
      <c r="BF38" s="95">
        <f t="shared" si="15"/>
        <v>1181849</v>
      </c>
      <c r="BG38" s="95">
        <f t="shared" si="16"/>
        <v>127467</v>
      </c>
      <c r="BH38" s="95">
        <f t="shared" si="17"/>
        <v>485211</v>
      </c>
    </row>
    <row r="39" spans="3:60" ht="15" x14ac:dyDescent="0.25">
      <c r="D39" s="8">
        <v>1049</v>
      </c>
      <c r="E39" s="8" t="s">
        <v>330</v>
      </c>
      <c r="F39" s="13">
        <v>0</v>
      </c>
      <c r="G39" s="13">
        <v>0</v>
      </c>
      <c r="H39" s="13">
        <v>0</v>
      </c>
      <c r="I39" s="13">
        <v>0</v>
      </c>
      <c r="J39" s="13">
        <v>626128.38</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53.05</v>
      </c>
      <c r="AS39" s="13">
        <v>0</v>
      </c>
      <c r="AT39" s="13">
        <v>0</v>
      </c>
      <c r="AU39" s="13">
        <v>0</v>
      </c>
      <c r="AV39" s="13">
        <v>0</v>
      </c>
      <c r="AW39" s="13">
        <v>0</v>
      </c>
      <c r="AX39" s="13">
        <v>0</v>
      </c>
      <c r="AY39" s="13">
        <v>0</v>
      </c>
      <c r="AZ39" s="13">
        <v>0</v>
      </c>
      <c r="BA39" s="13">
        <v>81617.39</v>
      </c>
      <c r="BB39" s="13">
        <v>0</v>
      </c>
      <c r="BC39" s="13">
        <v>0</v>
      </c>
      <c r="BD39" s="13">
        <v>0</v>
      </c>
      <c r="BE39" s="95">
        <f t="shared" si="14"/>
        <v>707798.82000000007</v>
      </c>
      <c r="BF39" s="95">
        <f t="shared" si="15"/>
        <v>626128.38</v>
      </c>
      <c r="BG39" s="95">
        <f t="shared" si="16"/>
        <v>0</v>
      </c>
      <c r="BH39" s="95">
        <f t="shared" si="17"/>
        <v>81670.44</v>
      </c>
    </row>
    <row r="40" spans="3:60"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95"/>
      <c r="BF40" s="95"/>
      <c r="BG40" s="95"/>
      <c r="BH40" s="95"/>
    </row>
    <row r="41" spans="3:60" ht="15" x14ac:dyDescent="0.25">
      <c r="C41" s="85">
        <v>106</v>
      </c>
      <c r="D41" s="85"/>
      <c r="E41" s="85" t="s">
        <v>241</v>
      </c>
      <c r="F41" s="107">
        <f>F42+F43+F44+F45+F46</f>
        <v>0</v>
      </c>
      <c r="G41" s="107">
        <f t="shared" ref="G41:BD41" si="18">G42+G43+G44+G45+G46</f>
        <v>0</v>
      </c>
      <c r="H41" s="107">
        <f t="shared" si="18"/>
        <v>0</v>
      </c>
      <c r="I41" s="107">
        <f t="shared" si="18"/>
        <v>0</v>
      </c>
      <c r="J41" s="107">
        <f t="shared" si="18"/>
        <v>0</v>
      </c>
      <c r="K41" s="107">
        <f t="shared" si="18"/>
        <v>0</v>
      </c>
      <c r="L41" s="107">
        <f t="shared" si="18"/>
        <v>0</v>
      </c>
      <c r="M41" s="107">
        <f t="shared" si="18"/>
        <v>391489.98</v>
      </c>
      <c r="N41" s="107">
        <f t="shared" si="18"/>
        <v>0</v>
      </c>
      <c r="O41" s="107">
        <f t="shared" si="18"/>
        <v>0</v>
      </c>
      <c r="P41" s="107">
        <f t="shared" si="18"/>
        <v>219612.4</v>
      </c>
      <c r="Q41" s="107">
        <f t="shared" si="18"/>
        <v>0</v>
      </c>
      <c r="R41" s="107">
        <f t="shared" si="18"/>
        <v>0</v>
      </c>
      <c r="S41" s="107">
        <f t="shared" si="18"/>
        <v>0</v>
      </c>
      <c r="T41" s="107">
        <f t="shared" si="18"/>
        <v>0</v>
      </c>
      <c r="U41" s="107">
        <f t="shared" si="18"/>
        <v>0</v>
      </c>
      <c r="V41" s="107">
        <f t="shared" si="18"/>
        <v>0</v>
      </c>
      <c r="W41" s="107">
        <f t="shared" si="18"/>
        <v>2323.6999999999998</v>
      </c>
      <c r="X41" s="107">
        <f t="shared" si="18"/>
        <v>0</v>
      </c>
      <c r="Y41" s="107">
        <f t="shared" si="18"/>
        <v>0</v>
      </c>
      <c r="Z41" s="107">
        <f t="shared" si="18"/>
        <v>41843.800000000003</v>
      </c>
      <c r="AA41" s="107">
        <f t="shared" si="18"/>
        <v>0</v>
      </c>
      <c r="AB41" s="107">
        <f t="shared" si="18"/>
        <v>13910.3</v>
      </c>
      <c r="AC41" s="107">
        <f t="shared" si="18"/>
        <v>0</v>
      </c>
      <c r="AD41" s="107">
        <f t="shared" si="18"/>
        <v>3441.82</v>
      </c>
      <c r="AE41" s="107">
        <f t="shared" si="18"/>
        <v>0</v>
      </c>
      <c r="AF41" s="107">
        <f t="shared" si="18"/>
        <v>0</v>
      </c>
      <c r="AG41" s="107">
        <f t="shared" si="18"/>
        <v>24366.449999999997</v>
      </c>
      <c r="AH41" s="107">
        <f t="shared" si="18"/>
        <v>0</v>
      </c>
      <c r="AI41" s="107">
        <f t="shared" si="18"/>
        <v>0</v>
      </c>
      <c r="AJ41" s="107">
        <f t="shared" si="18"/>
        <v>13308.6</v>
      </c>
      <c r="AK41" s="107">
        <f t="shared" si="18"/>
        <v>0</v>
      </c>
      <c r="AL41" s="107">
        <f t="shared" si="18"/>
        <v>0</v>
      </c>
      <c r="AM41" s="107">
        <f t="shared" si="18"/>
        <v>1441.03</v>
      </c>
      <c r="AN41" s="107">
        <f t="shared" si="18"/>
        <v>0</v>
      </c>
      <c r="AO41" s="107">
        <f t="shared" si="18"/>
        <v>0</v>
      </c>
      <c r="AP41" s="107">
        <f t="shared" si="18"/>
        <v>0</v>
      </c>
      <c r="AQ41" s="107">
        <f t="shared" si="18"/>
        <v>0</v>
      </c>
      <c r="AR41" s="107">
        <f t="shared" si="18"/>
        <v>0</v>
      </c>
      <c r="AS41" s="107">
        <f t="shared" si="18"/>
        <v>0</v>
      </c>
      <c r="AT41" s="107">
        <f t="shared" si="18"/>
        <v>0</v>
      </c>
      <c r="AU41" s="107">
        <f t="shared" si="18"/>
        <v>0</v>
      </c>
      <c r="AV41" s="107">
        <f t="shared" si="18"/>
        <v>0</v>
      </c>
      <c r="AW41" s="107">
        <f t="shared" si="18"/>
        <v>0</v>
      </c>
      <c r="AX41" s="107">
        <f t="shared" si="18"/>
        <v>0</v>
      </c>
      <c r="AY41" s="107">
        <f t="shared" si="18"/>
        <v>0</v>
      </c>
      <c r="AZ41" s="107">
        <f t="shared" si="18"/>
        <v>0</v>
      </c>
      <c r="BA41" s="107">
        <f t="shared" si="18"/>
        <v>0</v>
      </c>
      <c r="BB41" s="107">
        <f t="shared" si="18"/>
        <v>44489.1</v>
      </c>
      <c r="BC41" s="107">
        <f t="shared" si="18"/>
        <v>0</v>
      </c>
      <c r="BD41" s="107">
        <f t="shared" si="18"/>
        <v>0</v>
      </c>
      <c r="BE41" s="107">
        <f t="shared" ref="BE41:BE46" si="19">SUM(F41:BD41)</f>
        <v>756227.17999999993</v>
      </c>
      <c r="BF41" s="107">
        <f t="shared" ref="BF41:BF47" si="20">SUM(F41:X41)</f>
        <v>613426.07999999996</v>
      </c>
      <c r="BG41" s="107">
        <f t="shared" ref="BG41:BG46" si="21">SUM(Y41:AJ41)</f>
        <v>96870.97</v>
      </c>
      <c r="BH41" s="107">
        <f t="shared" ref="BH41:BH46" si="22">SUM(AK41:BD41)</f>
        <v>45930.13</v>
      </c>
    </row>
    <row r="42" spans="3:60" ht="15" x14ac:dyDescent="0.25">
      <c r="D42" s="8">
        <v>1060</v>
      </c>
      <c r="E42" s="8" t="s">
        <v>331</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2323.6999999999998</v>
      </c>
      <c r="X42" s="13">
        <v>0</v>
      </c>
      <c r="Y42" s="13">
        <v>0</v>
      </c>
      <c r="Z42" s="13">
        <v>41843.800000000003</v>
      </c>
      <c r="AA42" s="13">
        <v>0</v>
      </c>
      <c r="AB42" s="13">
        <v>4079.75</v>
      </c>
      <c r="AC42" s="13">
        <v>0</v>
      </c>
      <c r="AD42" s="13">
        <v>3441.82</v>
      </c>
      <c r="AE42" s="13">
        <v>0</v>
      </c>
      <c r="AF42" s="13">
        <v>0</v>
      </c>
      <c r="AG42" s="13">
        <v>1548.1</v>
      </c>
      <c r="AH42" s="13">
        <v>0</v>
      </c>
      <c r="AI42" s="13">
        <v>0</v>
      </c>
      <c r="AJ42" s="13">
        <v>3566.6</v>
      </c>
      <c r="AK42" s="13">
        <v>0</v>
      </c>
      <c r="AL42" s="13">
        <v>0</v>
      </c>
      <c r="AM42" s="13">
        <v>1441.03</v>
      </c>
      <c r="AN42" s="13">
        <v>0</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95">
        <f t="shared" si="19"/>
        <v>58244.799999999996</v>
      </c>
      <c r="BF42" s="95">
        <f t="shared" si="20"/>
        <v>2323.6999999999998</v>
      </c>
      <c r="BG42" s="95">
        <f t="shared" si="21"/>
        <v>54480.07</v>
      </c>
      <c r="BH42" s="95">
        <f t="shared" si="22"/>
        <v>1441.03</v>
      </c>
    </row>
    <row r="43" spans="3:60" ht="15" x14ac:dyDescent="0.25">
      <c r="D43" s="8">
        <v>1061</v>
      </c>
      <c r="E43" s="8" t="s">
        <v>332</v>
      </c>
      <c r="F43" s="13">
        <v>0</v>
      </c>
      <c r="G43" s="13">
        <v>0</v>
      </c>
      <c r="H43" s="13">
        <v>0</v>
      </c>
      <c r="I43" s="13">
        <v>0</v>
      </c>
      <c r="J43" s="13">
        <v>0</v>
      </c>
      <c r="K43" s="13">
        <v>0</v>
      </c>
      <c r="L43" s="13">
        <v>0</v>
      </c>
      <c r="M43" s="13">
        <v>391489.98</v>
      </c>
      <c r="N43" s="13">
        <v>0</v>
      </c>
      <c r="O43" s="13">
        <v>0</v>
      </c>
      <c r="P43" s="13">
        <v>170612.4</v>
      </c>
      <c r="Q43" s="13">
        <v>0</v>
      </c>
      <c r="R43" s="13">
        <v>0</v>
      </c>
      <c r="S43" s="13">
        <v>0</v>
      </c>
      <c r="T43" s="13">
        <v>0</v>
      </c>
      <c r="U43" s="13">
        <v>0</v>
      </c>
      <c r="V43" s="13">
        <v>0</v>
      </c>
      <c r="W43" s="13">
        <v>0</v>
      </c>
      <c r="X43" s="13">
        <v>0</v>
      </c>
      <c r="Y43" s="13">
        <v>0</v>
      </c>
      <c r="Z43" s="13">
        <v>0</v>
      </c>
      <c r="AA43" s="13">
        <v>0</v>
      </c>
      <c r="AB43" s="13">
        <v>9830.5499999999993</v>
      </c>
      <c r="AC43" s="13">
        <v>0</v>
      </c>
      <c r="AD43" s="13">
        <v>0</v>
      </c>
      <c r="AE43" s="13">
        <v>0</v>
      </c>
      <c r="AF43" s="13">
        <v>0</v>
      </c>
      <c r="AG43" s="13">
        <v>0</v>
      </c>
      <c r="AH43" s="13">
        <v>0</v>
      </c>
      <c r="AI43" s="13">
        <v>0</v>
      </c>
      <c r="AJ43" s="13">
        <v>9742</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44489.1</v>
      </c>
      <c r="BC43" s="13">
        <v>0</v>
      </c>
      <c r="BD43" s="13">
        <v>0</v>
      </c>
      <c r="BE43" s="95">
        <f t="shared" si="19"/>
        <v>626164.03</v>
      </c>
      <c r="BF43" s="95">
        <f t="shared" si="20"/>
        <v>562102.38</v>
      </c>
      <c r="BG43" s="95">
        <f t="shared" si="21"/>
        <v>19572.55</v>
      </c>
      <c r="BH43" s="95">
        <f t="shared" si="22"/>
        <v>44489.1</v>
      </c>
    </row>
    <row r="44" spans="3:6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95">
        <f t="shared" si="19"/>
        <v>0</v>
      </c>
      <c r="BF44" s="95">
        <f t="shared" si="20"/>
        <v>0</v>
      </c>
      <c r="BG44" s="95">
        <f t="shared" si="21"/>
        <v>0</v>
      </c>
      <c r="BH44" s="95">
        <f t="shared" si="22"/>
        <v>0</v>
      </c>
    </row>
    <row r="45" spans="3:60" ht="15" x14ac:dyDescent="0.25">
      <c r="D45" s="8">
        <v>1063</v>
      </c>
      <c r="E45" s="8" t="s">
        <v>334</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22818.35</v>
      </c>
      <c r="AH45" s="13">
        <v>0</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95">
        <f t="shared" si="19"/>
        <v>71818.350000000006</v>
      </c>
      <c r="BF45" s="95">
        <f t="shared" si="20"/>
        <v>49000</v>
      </c>
      <c r="BG45" s="95">
        <f t="shared" si="21"/>
        <v>22818.35</v>
      </c>
      <c r="BH45" s="95">
        <f t="shared" si="22"/>
        <v>0</v>
      </c>
    </row>
    <row r="46" spans="3:6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95">
        <f t="shared" si="19"/>
        <v>0</v>
      </c>
      <c r="BF46" s="95">
        <f t="shared" si="20"/>
        <v>0</v>
      </c>
      <c r="BG46" s="95">
        <f t="shared" si="21"/>
        <v>0</v>
      </c>
      <c r="BH46" s="95">
        <f t="shared" si="22"/>
        <v>0</v>
      </c>
    </row>
    <row r="47" spans="3:60"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95"/>
      <c r="BF47" s="95">
        <f t="shared" si="20"/>
        <v>0</v>
      </c>
      <c r="BG47" s="95"/>
      <c r="BH47" s="95"/>
    </row>
    <row r="48" spans="3:60" ht="15" x14ac:dyDescent="0.25">
      <c r="C48" s="85">
        <v>107</v>
      </c>
      <c r="D48" s="85"/>
      <c r="E48" s="85" t="s">
        <v>340</v>
      </c>
      <c r="F48" s="107">
        <f>F49+F50+F51+F52</f>
        <v>3821.35</v>
      </c>
      <c r="G48" s="107">
        <f t="shared" ref="G48:BD48" si="23">G49+G50+G51+G52</f>
        <v>200</v>
      </c>
      <c r="H48" s="107">
        <f t="shared" si="23"/>
        <v>0</v>
      </c>
      <c r="I48" s="107">
        <f t="shared" si="23"/>
        <v>1896</v>
      </c>
      <c r="J48" s="107">
        <f t="shared" si="23"/>
        <v>381072</v>
      </c>
      <c r="K48" s="107">
        <f t="shared" si="23"/>
        <v>1280</v>
      </c>
      <c r="L48" s="107">
        <f t="shared" si="23"/>
        <v>21401</v>
      </c>
      <c r="M48" s="107">
        <f t="shared" si="23"/>
        <v>3351036.56</v>
      </c>
      <c r="N48" s="107">
        <f t="shared" si="23"/>
        <v>1280</v>
      </c>
      <c r="O48" s="107">
        <f t="shared" si="23"/>
        <v>0</v>
      </c>
      <c r="P48" s="107">
        <f t="shared" si="23"/>
        <v>300971.5</v>
      </c>
      <c r="Q48" s="107">
        <f t="shared" si="23"/>
        <v>2102</v>
      </c>
      <c r="R48" s="107">
        <f t="shared" si="23"/>
        <v>13240</v>
      </c>
      <c r="S48" s="107">
        <f t="shared" si="23"/>
        <v>200</v>
      </c>
      <c r="T48" s="107">
        <f t="shared" si="23"/>
        <v>200</v>
      </c>
      <c r="U48" s="107">
        <f t="shared" si="23"/>
        <v>20801</v>
      </c>
      <c r="V48" s="107">
        <f t="shared" si="23"/>
        <v>0</v>
      </c>
      <c r="W48" s="107">
        <f t="shared" si="23"/>
        <v>950.55</v>
      </c>
      <c r="X48" s="107">
        <f t="shared" si="23"/>
        <v>7806</v>
      </c>
      <c r="Y48" s="107">
        <f t="shared" si="23"/>
        <v>0</v>
      </c>
      <c r="Z48" s="107">
        <f t="shared" si="23"/>
        <v>2511</v>
      </c>
      <c r="AA48" s="107">
        <f t="shared" si="23"/>
        <v>23094741.800000001</v>
      </c>
      <c r="AB48" s="107">
        <f t="shared" si="23"/>
        <v>85259.1</v>
      </c>
      <c r="AC48" s="107">
        <f t="shared" si="23"/>
        <v>59800</v>
      </c>
      <c r="AD48" s="107">
        <f t="shared" si="23"/>
        <v>762</v>
      </c>
      <c r="AE48" s="107">
        <f t="shared" si="23"/>
        <v>3050</v>
      </c>
      <c r="AF48" s="107">
        <f t="shared" si="23"/>
        <v>0</v>
      </c>
      <c r="AG48" s="107">
        <f t="shared" si="23"/>
        <v>504100</v>
      </c>
      <c r="AH48" s="107">
        <f t="shared" si="23"/>
        <v>157960</v>
      </c>
      <c r="AI48" s="107">
        <f t="shared" si="23"/>
        <v>4160</v>
      </c>
      <c r="AJ48" s="107">
        <f t="shared" si="23"/>
        <v>34532</v>
      </c>
      <c r="AK48" s="107">
        <f t="shared" si="23"/>
        <v>109400</v>
      </c>
      <c r="AL48" s="107">
        <f t="shared" si="23"/>
        <v>89906</v>
      </c>
      <c r="AM48" s="107">
        <f t="shared" si="23"/>
        <v>0</v>
      </c>
      <c r="AN48" s="107">
        <f t="shared" si="23"/>
        <v>200</v>
      </c>
      <c r="AO48" s="107">
        <f t="shared" si="23"/>
        <v>2000</v>
      </c>
      <c r="AP48" s="107">
        <f t="shared" si="23"/>
        <v>200</v>
      </c>
      <c r="AQ48" s="107">
        <f t="shared" si="23"/>
        <v>200</v>
      </c>
      <c r="AR48" s="107">
        <f t="shared" si="23"/>
        <v>7080</v>
      </c>
      <c r="AS48" s="107">
        <f t="shared" si="23"/>
        <v>316250</v>
      </c>
      <c r="AT48" s="107">
        <f t="shared" si="23"/>
        <v>0</v>
      </c>
      <c r="AU48" s="107">
        <f t="shared" si="23"/>
        <v>1</v>
      </c>
      <c r="AV48" s="107">
        <f t="shared" si="23"/>
        <v>9</v>
      </c>
      <c r="AW48" s="107">
        <f t="shared" si="23"/>
        <v>105600</v>
      </c>
      <c r="AX48" s="107">
        <f t="shared" si="23"/>
        <v>0</v>
      </c>
      <c r="AY48" s="107">
        <f t="shared" si="23"/>
        <v>1505</v>
      </c>
      <c r="AZ48" s="107">
        <f t="shared" si="23"/>
        <v>163200</v>
      </c>
      <c r="BA48" s="107">
        <f t="shared" si="23"/>
        <v>1200</v>
      </c>
      <c r="BB48" s="107">
        <f t="shared" si="23"/>
        <v>74380</v>
      </c>
      <c r="BC48" s="107">
        <f t="shared" si="23"/>
        <v>869001</v>
      </c>
      <c r="BD48" s="107">
        <f t="shared" si="23"/>
        <v>5</v>
      </c>
      <c r="BE48" s="107">
        <f>SUM(F48:BD48)</f>
        <v>29795270.860000003</v>
      </c>
      <c r="BF48" s="107">
        <f>SUM(F48:X48)</f>
        <v>4108257.96</v>
      </c>
      <c r="BG48" s="107">
        <f>SUM(Y48:AJ48)</f>
        <v>23946875.900000002</v>
      </c>
      <c r="BH48" s="107">
        <f>SUM(AK48:BD48)</f>
        <v>1740137</v>
      </c>
    </row>
    <row r="49" spans="3:60" ht="15" x14ac:dyDescent="0.25">
      <c r="D49" s="8">
        <v>1070</v>
      </c>
      <c r="E49" s="8" t="s">
        <v>336</v>
      </c>
      <c r="F49" s="13">
        <v>3821.35</v>
      </c>
      <c r="G49" s="13">
        <v>200</v>
      </c>
      <c r="H49" s="13">
        <v>0</v>
      </c>
      <c r="I49" s="13">
        <v>1896</v>
      </c>
      <c r="J49" s="13">
        <v>348197</v>
      </c>
      <c r="K49" s="13">
        <v>1280</v>
      </c>
      <c r="L49" s="13">
        <v>21401</v>
      </c>
      <c r="M49" s="13">
        <v>855700</v>
      </c>
      <c r="N49" s="13">
        <v>1280</v>
      </c>
      <c r="O49" s="13">
        <v>0</v>
      </c>
      <c r="P49" s="13">
        <v>300971.5</v>
      </c>
      <c r="Q49" s="13">
        <v>2102</v>
      </c>
      <c r="R49" s="13">
        <v>13240</v>
      </c>
      <c r="S49" s="13">
        <v>200</v>
      </c>
      <c r="T49" s="13">
        <v>200</v>
      </c>
      <c r="U49" s="13">
        <v>20801</v>
      </c>
      <c r="V49" s="13">
        <v>0</v>
      </c>
      <c r="W49" s="13">
        <v>950.55</v>
      </c>
      <c r="X49" s="13">
        <v>7806</v>
      </c>
      <c r="Y49" s="13">
        <v>0</v>
      </c>
      <c r="Z49" s="13">
        <v>2511</v>
      </c>
      <c r="AA49" s="13">
        <v>1030456</v>
      </c>
      <c r="AB49" s="13">
        <v>84715</v>
      </c>
      <c r="AC49" s="13">
        <v>59800</v>
      </c>
      <c r="AD49" s="13">
        <v>762</v>
      </c>
      <c r="AE49" s="13">
        <v>3050</v>
      </c>
      <c r="AF49" s="13">
        <v>0</v>
      </c>
      <c r="AG49" s="13">
        <v>504100</v>
      </c>
      <c r="AH49" s="13">
        <v>157960</v>
      </c>
      <c r="AI49" s="13">
        <v>4160</v>
      </c>
      <c r="AJ49" s="13">
        <v>34532</v>
      </c>
      <c r="AK49" s="13">
        <v>17400</v>
      </c>
      <c r="AL49" s="13">
        <v>89906</v>
      </c>
      <c r="AM49" s="13">
        <v>0</v>
      </c>
      <c r="AN49" s="13">
        <v>200</v>
      </c>
      <c r="AO49" s="13">
        <v>2000</v>
      </c>
      <c r="AP49" s="13">
        <v>200</v>
      </c>
      <c r="AQ49" s="13">
        <v>200</v>
      </c>
      <c r="AR49" s="13">
        <v>7080</v>
      </c>
      <c r="AS49" s="13">
        <v>316250</v>
      </c>
      <c r="AT49" s="13">
        <v>0</v>
      </c>
      <c r="AU49" s="13">
        <v>1</v>
      </c>
      <c r="AV49" s="13">
        <v>9</v>
      </c>
      <c r="AW49" s="13">
        <v>105600</v>
      </c>
      <c r="AX49" s="13">
        <v>0</v>
      </c>
      <c r="AY49" s="13">
        <v>1505</v>
      </c>
      <c r="AZ49" s="13">
        <v>163200</v>
      </c>
      <c r="BA49" s="13">
        <v>1200</v>
      </c>
      <c r="BB49" s="13">
        <v>74380</v>
      </c>
      <c r="BC49" s="13">
        <v>869001</v>
      </c>
      <c r="BD49" s="13">
        <v>5</v>
      </c>
      <c r="BE49" s="95">
        <f>SUM(F49:BD49)</f>
        <v>5110229.4000000004</v>
      </c>
      <c r="BF49" s="95">
        <f>SUM(F49:X49)</f>
        <v>1580046.4000000001</v>
      </c>
      <c r="BG49" s="95">
        <f>SUM(Y49:AJ49)</f>
        <v>1882046</v>
      </c>
      <c r="BH49" s="95">
        <f>SUM(AK49:BD49)</f>
        <v>1648137</v>
      </c>
    </row>
    <row r="50" spans="3:60" ht="15" x14ac:dyDescent="0.25">
      <c r="D50" s="8">
        <v>1071</v>
      </c>
      <c r="E50" s="8" t="s">
        <v>337</v>
      </c>
      <c r="F50" s="13">
        <v>0</v>
      </c>
      <c r="G50" s="13">
        <v>0</v>
      </c>
      <c r="H50" s="13">
        <v>0</v>
      </c>
      <c r="I50" s="13">
        <v>0</v>
      </c>
      <c r="J50" s="13">
        <v>32875</v>
      </c>
      <c r="K50" s="13">
        <v>0</v>
      </c>
      <c r="L50" s="13">
        <v>0</v>
      </c>
      <c r="M50" s="13">
        <v>2495336.56</v>
      </c>
      <c r="N50" s="13">
        <v>0</v>
      </c>
      <c r="O50" s="13">
        <v>0</v>
      </c>
      <c r="P50" s="13">
        <v>0</v>
      </c>
      <c r="Q50" s="13">
        <v>0</v>
      </c>
      <c r="R50" s="13">
        <v>0</v>
      </c>
      <c r="S50" s="13">
        <v>0</v>
      </c>
      <c r="T50" s="13">
        <v>0</v>
      </c>
      <c r="U50" s="13">
        <v>0</v>
      </c>
      <c r="V50" s="13">
        <v>0</v>
      </c>
      <c r="W50" s="13">
        <v>0</v>
      </c>
      <c r="X50" s="13">
        <v>0</v>
      </c>
      <c r="Y50" s="13">
        <v>0</v>
      </c>
      <c r="Z50" s="13">
        <v>0</v>
      </c>
      <c r="AA50" s="13">
        <v>22064285.800000001</v>
      </c>
      <c r="AB50" s="13">
        <v>544.1</v>
      </c>
      <c r="AC50" s="13">
        <v>0</v>
      </c>
      <c r="AD50" s="13">
        <v>0</v>
      </c>
      <c r="AE50" s="13">
        <v>0</v>
      </c>
      <c r="AF50" s="13">
        <v>0</v>
      </c>
      <c r="AG50" s="13">
        <v>0</v>
      </c>
      <c r="AH50" s="13">
        <v>0</v>
      </c>
      <c r="AI50" s="13">
        <v>0</v>
      </c>
      <c r="AJ50" s="13">
        <v>0</v>
      </c>
      <c r="AK50" s="13">
        <v>92000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95">
        <f>SUM(F50:BD50)</f>
        <v>24685041.460000001</v>
      </c>
      <c r="BF50" s="95">
        <f>SUM(F50:X50)</f>
        <v>2528211.56</v>
      </c>
      <c r="BG50" s="95">
        <f>SUM(Y50:AJ50)</f>
        <v>22064829.900000002</v>
      </c>
      <c r="BH50" s="95">
        <f>SUM(AK50:BD50)</f>
        <v>92000</v>
      </c>
    </row>
    <row r="51" spans="3:6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95">
        <f>SUM(F51:BD51)</f>
        <v>0</v>
      </c>
      <c r="BF51" s="95">
        <f>SUM(F51:X51)</f>
        <v>0</v>
      </c>
      <c r="BG51" s="95">
        <f>SUM(Y51:AJ51)</f>
        <v>0</v>
      </c>
      <c r="BH51" s="95">
        <f>SUM(AK51:BD51)</f>
        <v>0</v>
      </c>
    </row>
    <row r="52" spans="3:6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95">
        <f>SUM(F52:BD52)</f>
        <v>0</v>
      </c>
      <c r="BF52" s="95">
        <f>SUM(F52:X52)</f>
        <v>0</v>
      </c>
      <c r="BG52" s="95">
        <f>SUM(Y52:AJ52)</f>
        <v>0</v>
      </c>
      <c r="BH52" s="95">
        <f>SUM(AK52:BD52)</f>
        <v>0</v>
      </c>
    </row>
    <row r="53" spans="3:60"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95"/>
      <c r="BF53" s="95"/>
      <c r="BG53" s="95"/>
      <c r="BH53" s="95"/>
    </row>
    <row r="54" spans="3:60" ht="15" x14ac:dyDescent="0.25">
      <c r="C54" s="85">
        <v>108</v>
      </c>
      <c r="D54" s="85"/>
      <c r="E54" s="85" t="s">
        <v>242</v>
      </c>
      <c r="F54" s="107">
        <f>F55+F56+F57+F58+F59+F60</f>
        <v>262154.7</v>
      </c>
      <c r="G54" s="107">
        <f t="shared" ref="G54:BD54" si="24">G55+G56+G57+G58+G59+G60</f>
        <v>689896.29999999993</v>
      </c>
      <c r="H54" s="107">
        <f t="shared" si="24"/>
        <v>2075459.25</v>
      </c>
      <c r="I54" s="107">
        <f t="shared" si="24"/>
        <v>2322949.15</v>
      </c>
      <c r="J54" s="107">
        <f t="shared" si="24"/>
        <v>7418070</v>
      </c>
      <c r="K54" s="107">
        <f t="shared" si="24"/>
        <v>3017950</v>
      </c>
      <c r="L54" s="107">
        <f t="shared" si="24"/>
        <v>4472753</v>
      </c>
      <c r="M54" s="107">
        <f t="shared" si="24"/>
        <v>31046472.800000001</v>
      </c>
      <c r="N54" s="107">
        <f t="shared" si="24"/>
        <v>1032168</v>
      </c>
      <c r="O54" s="107">
        <f t="shared" si="24"/>
        <v>0</v>
      </c>
      <c r="P54" s="107">
        <f t="shared" si="24"/>
        <v>3669906.5700000003</v>
      </c>
      <c r="Q54" s="107">
        <f t="shared" si="24"/>
        <v>664792.54</v>
      </c>
      <c r="R54" s="107">
        <f t="shared" si="24"/>
        <v>173100</v>
      </c>
      <c r="S54" s="107">
        <f t="shared" si="24"/>
        <v>750000</v>
      </c>
      <c r="T54" s="107">
        <f t="shared" si="24"/>
        <v>631672.56000000006</v>
      </c>
      <c r="U54" s="107">
        <f t="shared" si="24"/>
        <v>2958764.05</v>
      </c>
      <c r="V54" s="107">
        <f t="shared" si="24"/>
        <v>618814.93000000005</v>
      </c>
      <c r="W54" s="107">
        <f t="shared" si="24"/>
        <v>320000</v>
      </c>
      <c r="X54" s="107">
        <f t="shared" si="24"/>
        <v>950781</v>
      </c>
      <c r="Y54" s="107">
        <f t="shared" si="24"/>
        <v>0</v>
      </c>
      <c r="Z54" s="107">
        <f t="shared" si="24"/>
        <v>0</v>
      </c>
      <c r="AA54" s="107">
        <f t="shared" si="24"/>
        <v>1095948.7</v>
      </c>
      <c r="AB54" s="107">
        <f t="shared" si="24"/>
        <v>367599.95</v>
      </c>
      <c r="AC54" s="107">
        <f t="shared" si="24"/>
        <v>1569901</v>
      </c>
      <c r="AD54" s="107">
        <f t="shared" si="24"/>
        <v>1406090</v>
      </c>
      <c r="AE54" s="107">
        <f t="shared" si="24"/>
        <v>0</v>
      </c>
      <c r="AF54" s="107">
        <f t="shared" si="24"/>
        <v>0</v>
      </c>
      <c r="AG54" s="107">
        <f t="shared" si="24"/>
        <v>1978579.95</v>
      </c>
      <c r="AH54" s="107">
        <f t="shared" si="24"/>
        <v>644176.6</v>
      </c>
      <c r="AI54" s="107">
        <f t="shared" si="24"/>
        <v>0</v>
      </c>
      <c r="AJ54" s="107">
        <f t="shared" si="24"/>
        <v>689770</v>
      </c>
      <c r="AK54" s="107">
        <f t="shared" si="24"/>
        <v>420000</v>
      </c>
      <c r="AL54" s="107">
        <f t="shared" si="24"/>
        <v>1826710</v>
      </c>
      <c r="AM54" s="107">
        <f t="shared" si="24"/>
        <v>1767415.1</v>
      </c>
      <c r="AN54" s="107">
        <f t="shared" si="24"/>
        <v>631637.14</v>
      </c>
      <c r="AO54" s="107">
        <f t="shared" si="24"/>
        <v>9691515</v>
      </c>
      <c r="AP54" s="107">
        <f t="shared" si="24"/>
        <v>470870</v>
      </c>
      <c r="AQ54" s="107">
        <f t="shared" si="24"/>
        <v>219171</v>
      </c>
      <c r="AR54" s="107">
        <f t="shared" si="24"/>
        <v>7224230.3499999996</v>
      </c>
      <c r="AS54" s="107">
        <f t="shared" si="24"/>
        <v>614944.30000000005</v>
      </c>
      <c r="AT54" s="107">
        <f t="shared" si="24"/>
        <v>1029831.4</v>
      </c>
      <c r="AU54" s="107">
        <f t="shared" si="24"/>
        <v>94935.7</v>
      </c>
      <c r="AV54" s="107">
        <f t="shared" si="24"/>
        <v>0</v>
      </c>
      <c r="AW54" s="107">
        <f t="shared" si="24"/>
        <v>1072087.7</v>
      </c>
      <c r="AX54" s="107">
        <f t="shared" si="24"/>
        <v>141110</v>
      </c>
      <c r="AY54" s="107">
        <f t="shared" si="24"/>
        <v>207450</v>
      </c>
      <c r="AZ54" s="107">
        <f t="shared" si="24"/>
        <v>838521</v>
      </c>
      <c r="BA54" s="107">
        <f t="shared" si="24"/>
        <v>398785</v>
      </c>
      <c r="BB54" s="107">
        <f t="shared" si="24"/>
        <v>2578618.85</v>
      </c>
      <c r="BC54" s="107">
        <f t="shared" si="24"/>
        <v>9100833.6799999997</v>
      </c>
      <c r="BD54" s="107">
        <f t="shared" si="24"/>
        <v>894415</v>
      </c>
      <c r="BE54" s="107">
        <f t="shared" ref="BE54:BE60" si="25">SUM(F54:BD54)</f>
        <v>110050852.26999998</v>
      </c>
      <c r="BF54" s="107">
        <f t="shared" ref="BF54:BF60" si="26">SUM(F54:X54)</f>
        <v>63075704.850000001</v>
      </c>
      <c r="BG54" s="107">
        <f t="shared" ref="BG54:BG60" si="27">SUM(Y54:AJ54)</f>
        <v>7752066.2000000002</v>
      </c>
      <c r="BH54" s="107">
        <f t="shared" ref="BH54:BH60" si="28">SUM(AK54:BD54)</f>
        <v>39223081.219999999</v>
      </c>
    </row>
    <row r="55" spans="3:60" ht="15" x14ac:dyDescent="0.25">
      <c r="D55" s="8">
        <v>1080</v>
      </c>
      <c r="E55" s="8" t="s">
        <v>341</v>
      </c>
      <c r="F55" s="13">
        <v>0</v>
      </c>
      <c r="G55" s="13">
        <v>102520.1</v>
      </c>
      <c r="H55" s="13">
        <v>169116</v>
      </c>
      <c r="I55" s="13">
        <v>61485</v>
      </c>
      <c r="J55" s="13">
        <v>784520</v>
      </c>
      <c r="K55" s="13">
        <v>257950</v>
      </c>
      <c r="L55" s="13">
        <v>971953</v>
      </c>
      <c r="M55" s="13">
        <v>12749420</v>
      </c>
      <c r="N55" s="13">
        <v>581618</v>
      </c>
      <c r="O55" s="13">
        <v>0</v>
      </c>
      <c r="P55" s="13">
        <v>1898825.87</v>
      </c>
      <c r="Q55" s="13">
        <v>70792.539999999994</v>
      </c>
      <c r="R55" s="13">
        <v>0</v>
      </c>
      <c r="S55" s="13">
        <v>0</v>
      </c>
      <c r="T55" s="13">
        <v>551672.56000000006</v>
      </c>
      <c r="U55" s="13">
        <v>2369354.85</v>
      </c>
      <c r="V55" s="13">
        <v>0</v>
      </c>
      <c r="W55" s="13">
        <v>0</v>
      </c>
      <c r="X55" s="13">
        <v>392880</v>
      </c>
      <c r="Y55" s="13">
        <v>0</v>
      </c>
      <c r="Z55" s="13">
        <v>0</v>
      </c>
      <c r="AA55" s="13">
        <v>897848.7</v>
      </c>
      <c r="AB55" s="13">
        <v>30</v>
      </c>
      <c r="AC55" s="13">
        <v>1298656.6000000001</v>
      </c>
      <c r="AD55" s="13">
        <v>141230</v>
      </c>
      <c r="AE55" s="13">
        <v>0</v>
      </c>
      <c r="AF55" s="13">
        <v>0</v>
      </c>
      <c r="AG55" s="13">
        <v>423579.95</v>
      </c>
      <c r="AH55" s="13">
        <v>0</v>
      </c>
      <c r="AI55" s="13">
        <v>0</v>
      </c>
      <c r="AJ55" s="13">
        <v>8770</v>
      </c>
      <c r="AK55" s="13">
        <v>0</v>
      </c>
      <c r="AL55" s="13">
        <v>329810</v>
      </c>
      <c r="AM55" s="13">
        <v>502798.1</v>
      </c>
      <c r="AN55" s="13">
        <v>631637.14</v>
      </c>
      <c r="AO55" s="13">
        <v>7153325</v>
      </c>
      <c r="AP55" s="13">
        <v>83490</v>
      </c>
      <c r="AQ55" s="13">
        <v>219171</v>
      </c>
      <c r="AR55" s="13">
        <v>132735</v>
      </c>
      <c r="AS55" s="13">
        <v>55797</v>
      </c>
      <c r="AT55" s="13">
        <v>3680</v>
      </c>
      <c r="AU55" s="13">
        <v>94935.7</v>
      </c>
      <c r="AV55" s="13">
        <v>0</v>
      </c>
      <c r="AW55" s="13">
        <v>594692.15</v>
      </c>
      <c r="AX55" s="13">
        <v>141110</v>
      </c>
      <c r="AY55" s="13">
        <v>49450</v>
      </c>
      <c r="AZ55" s="13">
        <v>719691</v>
      </c>
      <c r="BA55" s="13">
        <v>158785</v>
      </c>
      <c r="BB55" s="13">
        <v>888072</v>
      </c>
      <c r="BC55" s="13">
        <v>5411240.2300000004</v>
      </c>
      <c r="BD55" s="13">
        <v>184415</v>
      </c>
      <c r="BE55" s="95">
        <f t="shared" si="25"/>
        <v>41087057.489999995</v>
      </c>
      <c r="BF55" s="95">
        <f t="shared" si="26"/>
        <v>20962107.919999998</v>
      </c>
      <c r="BG55" s="95">
        <f t="shared" si="27"/>
        <v>2770115.25</v>
      </c>
      <c r="BH55" s="95">
        <f t="shared" si="28"/>
        <v>17354834.32</v>
      </c>
    </row>
    <row r="56" spans="3:60" ht="15" x14ac:dyDescent="0.25">
      <c r="D56" s="8">
        <v>1084</v>
      </c>
      <c r="E56" s="8" t="s">
        <v>342</v>
      </c>
      <c r="F56" s="13">
        <v>262154.7</v>
      </c>
      <c r="G56" s="13">
        <v>565900</v>
      </c>
      <c r="H56" s="13">
        <v>1906343.25</v>
      </c>
      <c r="I56" s="13">
        <v>2261464.15</v>
      </c>
      <c r="J56" s="13">
        <v>6633550</v>
      </c>
      <c r="K56" s="13">
        <v>2760000</v>
      </c>
      <c r="L56" s="13">
        <v>3500800</v>
      </c>
      <c r="M56" s="13">
        <v>18297052.800000001</v>
      </c>
      <c r="N56" s="13">
        <v>450550</v>
      </c>
      <c r="O56" s="13">
        <v>0</v>
      </c>
      <c r="P56" s="13">
        <v>1124850</v>
      </c>
      <c r="Q56" s="13">
        <v>594000</v>
      </c>
      <c r="R56" s="13">
        <v>173100</v>
      </c>
      <c r="S56" s="13">
        <v>750000</v>
      </c>
      <c r="T56" s="13">
        <v>80000</v>
      </c>
      <c r="U56" s="13">
        <v>589409.19999999995</v>
      </c>
      <c r="V56" s="13">
        <v>618814.93000000005</v>
      </c>
      <c r="W56" s="13">
        <v>320000</v>
      </c>
      <c r="X56" s="13">
        <v>557901</v>
      </c>
      <c r="Y56" s="13">
        <v>0</v>
      </c>
      <c r="Z56" s="13">
        <v>0</v>
      </c>
      <c r="AA56" s="13">
        <v>198100</v>
      </c>
      <c r="AB56" s="13">
        <v>367569.95</v>
      </c>
      <c r="AC56" s="13">
        <v>0</v>
      </c>
      <c r="AD56" s="13">
        <v>1264860</v>
      </c>
      <c r="AE56" s="13">
        <v>0</v>
      </c>
      <c r="AF56" s="13">
        <v>0</v>
      </c>
      <c r="AG56" s="13">
        <v>1555000</v>
      </c>
      <c r="AH56" s="13">
        <v>644176.6</v>
      </c>
      <c r="AI56" s="13">
        <v>0</v>
      </c>
      <c r="AJ56" s="13">
        <v>681000</v>
      </c>
      <c r="AK56" s="13">
        <v>420000</v>
      </c>
      <c r="AL56" s="13">
        <v>1496900</v>
      </c>
      <c r="AM56" s="13">
        <v>1264617</v>
      </c>
      <c r="AN56" s="13">
        <v>0</v>
      </c>
      <c r="AO56" s="13">
        <v>2538190</v>
      </c>
      <c r="AP56" s="13">
        <v>387380</v>
      </c>
      <c r="AQ56" s="13">
        <v>0</v>
      </c>
      <c r="AR56" s="13">
        <v>7091495.3499999996</v>
      </c>
      <c r="AS56" s="13">
        <v>559147.30000000005</v>
      </c>
      <c r="AT56" s="13">
        <v>1026151.4</v>
      </c>
      <c r="AU56" s="13">
        <v>0</v>
      </c>
      <c r="AV56" s="13">
        <v>0</v>
      </c>
      <c r="AW56" s="13">
        <v>416600</v>
      </c>
      <c r="AX56" s="13">
        <v>0</v>
      </c>
      <c r="AY56" s="13">
        <v>158000</v>
      </c>
      <c r="AZ56" s="13">
        <v>118830</v>
      </c>
      <c r="BA56" s="13">
        <v>240000</v>
      </c>
      <c r="BB56" s="13">
        <v>1690546.85</v>
      </c>
      <c r="BC56" s="13">
        <v>3689593.45</v>
      </c>
      <c r="BD56" s="13">
        <v>710000</v>
      </c>
      <c r="BE56" s="95">
        <f t="shared" si="25"/>
        <v>67964047.930000007</v>
      </c>
      <c r="BF56" s="95">
        <f t="shared" si="26"/>
        <v>41445890.030000009</v>
      </c>
      <c r="BG56" s="95">
        <f t="shared" si="27"/>
        <v>4710706.5500000007</v>
      </c>
      <c r="BH56" s="95">
        <f t="shared" si="28"/>
        <v>21807451.350000001</v>
      </c>
    </row>
    <row r="57" spans="3:6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95">
        <f t="shared" si="25"/>
        <v>0</v>
      </c>
      <c r="BF57" s="95">
        <f t="shared" si="26"/>
        <v>0</v>
      </c>
      <c r="BG57" s="95">
        <f t="shared" si="27"/>
        <v>0</v>
      </c>
      <c r="BH57" s="95">
        <f t="shared" si="28"/>
        <v>0</v>
      </c>
    </row>
    <row r="58" spans="3:60" ht="15" x14ac:dyDescent="0.25">
      <c r="D58" s="8">
        <v>1087</v>
      </c>
      <c r="E58" s="8" t="s">
        <v>344</v>
      </c>
      <c r="F58" s="13">
        <v>0</v>
      </c>
      <c r="G58" s="13">
        <v>21476.2</v>
      </c>
      <c r="H58" s="13">
        <v>0</v>
      </c>
      <c r="I58" s="13">
        <v>0</v>
      </c>
      <c r="J58" s="13">
        <v>0</v>
      </c>
      <c r="K58" s="13">
        <v>0</v>
      </c>
      <c r="L58" s="13">
        <v>0</v>
      </c>
      <c r="M58" s="13">
        <v>0</v>
      </c>
      <c r="N58" s="13">
        <v>0</v>
      </c>
      <c r="O58" s="13">
        <v>0</v>
      </c>
      <c r="P58" s="13">
        <v>646230.69999999995</v>
      </c>
      <c r="Q58" s="13">
        <v>0</v>
      </c>
      <c r="R58" s="13">
        <v>0</v>
      </c>
      <c r="S58" s="13">
        <v>0</v>
      </c>
      <c r="T58" s="13">
        <v>0</v>
      </c>
      <c r="U58" s="13">
        <v>0</v>
      </c>
      <c r="V58" s="13">
        <v>0</v>
      </c>
      <c r="W58" s="13">
        <v>0</v>
      </c>
      <c r="X58" s="13">
        <v>0</v>
      </c>
      <c r="Y58" s="13">
        <v>0</v>
      </c>
      <c r="Z58" s="13">
        <v>0</v>
      </c>
      <c r="AA58" s="13">
        <v>0</v>
      </c>
      <c r="AB58" s="13">
        <v>0</v>
      </c>
      <c r="AC58" s="13">
        <v>271244.40000000002</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60795.55</v>
      </c>
      <c r="AX58" s="13">
        <v>0</v>
      </c>
      <c r="AY58" s="13">
        <v>0</v>
      </c>
      <c r="AZ58" s="13">
        <v>0</v>
      </c>
      <c r="BA58" s="13">
        <v>0</v>
      </c>
      <c r="BB58" s="13">
        <v>0</v>
      </c>
      <c r="BC58" s="13">
        <v>0</v>
      </c>
      <c r="BD58" s="13">
        <v>0</v>
      </c>
      <c r="BE58" s="95">
        <f t="shared" si="25"/>
        <v>999746.85</v>
      </c>
      <c r="BF58" s="95">
        <f t="shared" si="26"/>
        <v>667706.89999999991</v>
      </c>
      <c r="BG58" s="95">
        <f t="shared" si="27"/>
        <v>271244.40000000002</v>
      </c>
      <c r="BH58" s="95">
        <f t="shared" si="28"/>
        <v>60795.55</v>
      </c>
    </row>
    <row r="59" spans="3:60"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95">
        <f t="shared" si="25"/>
        <v>0</v>
      </c>
      <c r="BF59" s="95">
        <f t="shared" si="26"/>
        <v>0</v>
      </c>
      <c r="BG59" s="95">
        <f t="shared" si="27"/>
        <v>0</v>
      </c>
      <c r="BH59" s="95">
        <f t="shared" si="28"/>
        <v>0</v>
      </c>
    </row>
    <row r="60" spans="3:60"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95">
        <f t="shared" si="25"/>
        <v>0</v>
      </c>
      <c r="BF60" s="95">
        <f t="shared" si="26"/>
        <v>0</v>
      </c>
      <c r="BG60" s="95">
        <f t="shared" si="27"/>
        <v>0</v>
      </c>
      <c r="BH60" s="95">
        <f t="shared" si="28"/>
        <v>0</v>
      </c>
    </row>
    <row r="61" spans="3:60"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95"/>
      <c r="BF61" s="95"/>
      <c r="BG61" s="95"/>
      <c r="BH61" s="95"/>
    </row>
    <row r="62" spans="3:60" ht="15" x14ac:dyDescent="0.25">
      <c r="C62" s="85">
        <v>109</v>
      </c>
      <c r="D62" s="85"/>
      <c r="E62" s="85" t="s">
        <v>347</v>
      </c>
      <c r="F62" s="107">
        <f>F63+F64+F65+F66</f>
        <v>0</v>
      </c>
      <c r="G62" s="107">
        <f t="shared" ref="G62:BD62" si="29">G63+G64+G65+G66</f>
        <v>0</v>
      </c>
      <c r="H62" s="107">
        <f t="shared" si="29"/>
        <v>0</v>
      </c>
      <c r="I62" s="107">
        <f t="shared" si="29"/>
        <v>0</v>
      </c>
      <c r="J62" s="107">
        <f t="shared" si="29"/>
        <v>0</v>
      </c>
      <c r="K62" s="107">
        <f t="shared" si="29"/>
        <v>0</v>
      </c>
      <c r="L62" s="107">
        <f t="shared" si="29"/>
        <v>0</v>
      </c>
      <c r="M62" s="107">
        <f t="shared" si="29"/>
        <v>0</v>
      </c>
      <c r="N62" s="107">
        <f t="shared" si="29"/>
        <v>0</v>
      </c>
      <c r="O62" s="107">
        <f t="shared" si="29"/>
        <v>0</v>
      </c>
      <c r="P62" s="107">
        <f t="shared" si="29"/>
        <v>0</v>
      </c>
      <c r="Q62" s="107">
        <f t="shared" si="29"/>
        <v>0</v>
      </c>
      <c r="R62" s="107">
        <f t="shared" si="29"/>
        <v>0</v>
      </c>
      <c r="S62" s="107">
        <f t="shared" si="29"/>
        <v>0</v>
      </c>
      <c r="T62" s="107">
        <f t="shared" si="29"/>
        <v>0</v>
      </c>
      <c r="U62" s="107">
        <f t="shared" si="29"/>
        <v>0</v>
      </c>
      <c r="V62" s="107">
        <f t="shared" si="29"/>
        <v>0</v>
      </c>
      <c r="W62" s="107">
        <f t="shared" si="29"/>
        <v>0</v>
      </c>
      <c r="X62" s="107">
        <f t="shared" si="29"/>
        <v>0</v>
      </c>
      <c r="Y62" s="107">
        <f t="shared" si="29"/>
        <v>0</v>
      </c>
      <c r="Z62" s="107">
        <f t="shared" si="29"/>
        <v>0</v>
      </c>
      <c r="AA62" s="107">
        <f t="shared" si="29"/>
        <v>0</v>
      </c>
      <c r="AB62" s="107">
        <f t="shared" si="29"/>
        <v>0</v>
      </c>
      <c r="AC62" s="107">
        <f t="shared" si="29"/>
        <v>0</v>
      </c>
      <c r="AD62" s="107">
        <f t="shared" si="29"/>
        <v>0</v>
      </c>
      <c r="AE62" s="107">
        <f t="shared" si="29"/>
        <v>0</v>
      </c>
      <c r="AF62" s="107">
        <f t="shared" si="29"/>
        <v>0</v>
      </c>
      <c r="AG62" s="107">
        <f t="shared" si="29"/>
        <v>0</v>
      </c>
      <c r="AH62" s="107">
        <f t="shared" si="29"/>
        <v>0</v>
      </c>
      <c r="AI62" s="107">
        <f t="shared" si="29"/>
        <v>0</v>
      </c>
      <c r="AJ62" s="107">
        <f t="shared" si="29"/>
        <v>0</v>
      </c>
      <c r="AK62" s="107">
        <f t="shared" si="29"/>
        <v>0</v>
      </c>
      <c r="AL62" s="107">
        <f t="shared" si="29"/>
        <v>0</v>
      </c>
      <c r="AM62" s="107">
        <f t="shared" si="29"/>
        <v>0</v>
      </c>
      <c r="AN62" s="107">
        <f t="shared" si="29"/>
        <v>0</v>
      </c>
      <c r="AO62" s="107">
        <f t="shared" si="29"/>
        <v>0</v>
      </c>
      <c r="AP62" s="107">
        <f t="shared" si="29"/>
        <v>0</v>
      </c>
      <c r="AQ62" s="107">
        <f t="shared" si="29"/>
        <v>0</v>
      </c>
      <c r="AR62" s="107">
        <f t="shared" si="29"/>
        <v>0</v>
      </c>
      <c r="AS62" s="107">
        <f t="shared" si="29"/>
        <v>0</v>
      </c>
      <c r="AT62" s="107">
        <f t="shared" si="29"/>
        <v>0</v>
      </c>
      <c r="AU62" s="107">
        <f t="shared" si="29"/>
        <v>0</v>
      </c>
      <c r="AV62" s="107">
        <f t="shared" si="29"/>
        <v>0</v>
      </c>
      <c r="AW62" s="107">
        <f t="shared" si="29"/>
        <v>0</v>
      </c>
      <c r="AX62" s="107">
        <f t="shared" si="29"/>
        <v>0</v>
      </c>
      <c r="AY62" s="107">
        <f t="shared" si="29"/>
        <v>0</v>
      </c>
      <c r="AZ62" s="107">
        <f t="shared" si="29"/>
        <v>0</v>
      </c>
      <c r="BA62" s="107">
        <f t="shared" si="29"/>
        <v>0</v>
      </c>
      <c r="BB62" s="107">
        <f t="shared" si="29"/>
        <v>0</v>
      </c>
      <c r="BC62" s="107">
        <f t="shared" si="29"/>
        <v>0</v>
      </c>
      <c r="BD62" s="107">
        <f t="shared" si="29"/>
        <v>0</v>
      </c>
      <c r="BE62" s="107">
        <f>SUM(F62:BD62)</f>
        <v>0</v>
      </c>
      <c r="BF62" s="107">
        <f>SUM(F62:X62)</f>
        <v>0</v>
      </c>
      <c r="BG62" s="107">
        <f>SUM(Y62:AJ62)</f>
        <v>0</v>
      </c>
      <c r="BH62" s="107">
        <f>SUM(AK62:BD62)</f>
        <v>0</v>
      </c>
    </row>
    <row r="63" spans="3:60"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95">
        <f>SUM(F63:BD63)</f>
        <v>0</v>
      </c>
      <c r="BF63" s="95">
        <f>SUM(F63:X63)</f>
        <v>0</v>
      </c>
      <c r="BG63" s="95">
        <f>SUM(Y63:AJ63)</f>
        <v>0</v>
      </c>
      <c r="BH63" s="95">
        <f>SUM(AK63:BD63)</f>
        <v>0</v>
      </c>
    </row>
    <row r="64" spans="3:6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95">
        <f>SUM(F64:BD64)</f>
        <v>0</v>
      </c>
      <c r="BF64" s="95">
        <f>SUM(F64:X64)</f>
        <v>0</v>
      </c>
      <c r="BG64" s="95">
        <f>SUM(Y64:AJ64)</f>
        <v>0</v>
      </c>
      <c r="BH64" s="95">
        <f>SUM(AK64:BD64)</f>
        <v>0</v>
      </c>
    </row>
    <row r="65" spans="2:61"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95">
        <f>SUM(F65:BD65)</f>
        <v>0</v>
      </c>
      <c r="BF65" s="95">
        <f>SUM(F65:X65)</f>
        <v>0</v>
      </c>
      <c r="BG65" s="95">
        <f>SUM(Y65:AJ65)</f>
        <v>0</v>
      </c>
      <c r="BH65" s="95">
        <f>SUM(AK65:BD65)</f>
        <v>0</v>
      </c>
    </row>
    <row r="66" spans="2:61"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95">
        <f>SUM(F66:BD66)</f>
        <v>0</v>
      </c>
      <c r="BF66" s="95">
        <f>SUM(F66:X66)</f>
        <v>0</v>
      </c>
      <c r="BG66" s="95">
        <f>SUM(Y66:AJ66)</f>
        <v>0</v>
      </c>
      <c r="BH66" s="95">
        <f>SUM(AK66:BD66)</f>
        <v>0</v>
      </c>
    </row>
    <row r="67" spans="2:61"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95"/>
      <c r="BF67" s="95"/>
      <c r="BG67" s="95"/>
      <c r="BH67" s="95"/>
    </row>
    <row r="68" spans="2:61" ht="15" x14ac:dyDescent="0.25">
      <c r="B68" s="118">
        <v>14</v>
      </c>
      <c r="C68" s="118"/>
      <c r="D68" s="118"/>
      <c r="E68" s="118" t="s">
        <v>243</v>
      </c>
      <c r="F68" s="119">
        <f>F69+F80+F86+F97+F108</f>
        <v>10542854.969999999</v>
      </c>
      <c r="G68" s="119">
        <f t="shared" ref="G68:BD68" si="30">G69+G80+G86+G97+G108</f>
        <v>1725993.4399999997</v>
      </c>
      <c r="H68" s="119">
        <f t="shared" si="30"/>
        <v>2796166.1</v>
      </c>
      <c r="I68" s="119">
        <f t="shared" si="30"/>
        <v>2488048.85</v>
      </c>
      <c r="J68" s="119">
        <f t="shared" si="30"/>
        <v>27436162.059999999</v>
      </c>
      <c r="K68" s="119">
        <f t="shared" si="30"/>
        <v>23949215.370000001</v>
      </c>
      <c r="L68" s="119">
        <f t="shared" si="30"/>
        <v>11834043.499999998</v>
      </c>
      <c r="M68" s="119">
        <f t="shared" si="30"/>
        <v>138351922.62</v>
      </c>
      <c r="N68" s="119">
        <f t="shared" si="30"/>
        <v>8288881.7700000014</v>
      </c>
      <c r="O68" s="119">
        <f t="shared" si="30"/>
        <v>1313458.02</v>
      </c>
      <c r="P68" s="119">
        <f t="shared" si="30"/>
        <v>42565712.659999996</v>
      </c>
      <c r="Q68" s="119">
        <f t="shared" si="30"/>
        <v>2297182.4900000002</v>
      </c>
      <c r="R68" s="119">
        <f t="shared" si="30"/>
        <v>258322.10000000003</v>
      </c>
      <c r="S68" s="119">
        <f t="shared" si="30"/>
        <v>2820239.33</v>
      </c>
      <c r="T68" s="119">
        <f t="shared" si="30"/>
        <v>2616894.4</v>
      </c>
      <c r="U68" s="119">
        <f t="shared" si="30"/>
        <v>2660778.3400000003</v>
      </c>
      <c r="V68" s="119">
        <f t="shared" si="30"/>
        <v>1195999.1000000001</v>
      </c>
      <c r="W68" s="119">
        <f t="shared" si="30"/>
        <v>2494851</v>
      </c>
      <c r="X68" s="119">
        <f t="shared" si="30"/>
        <v>18627652.530000001</v>
      </c>
      <c r="Y68" s="119">
        <f t="shared" si="30"/>
        <v>2278691.9500000002</v>
      </c>
      <c r="Z68" s="119">
        <f t="shared" si="30"/>
        <v>10626211.68</v>
      </c>
      <c r="AA68" s="119">
        <f t="shared" si="30"/>
        <v>9935434.6500000004</v>
      </c>
      <c r="AB68" s="119">
        <f t="shared" si="30"/>
        <v>1348177.15</v>
      </c>
      <c r="AC68" s="119">
        <f t="shared" si="30"/>
        <v>3084879.43</v>
      </c>
      <c r="AD68" s="119">
        <f t="shared" si="30"/>
        <v>7229112.1100000003</v>
      </c>
      <c r="AE68" s="119">
        <f t="shared" si="30"/>
        <v>4656143.25</v>
      </c>
      <c r="AF68" s="119">
        <f t="shared" si="30"/>
        <v>5288340.21</v>
      </c>
      <c r="AG68" s="119">
        <f t="shared" si="30"/>
        <v>9617786.0899999999</v>
      </c>
      <c r="AH68" s="119">
        <f t="shared" si="30"/>
        <v>17128093.349999998</v>
      </c>
      <c r="AI68" s="119">
        <f t="shared" si="30"/>
        <v>2130086.13</v>
      </c>
      <c r="AJ68" s="119">
        <f t="shared" si="30"/>
        <v>1313044.7</v>
      </c>
      <c r="AK68" s="119">
        <f t="shared" si="30"/>
        <v>16889716.960000001</v>
      </c>
      <c r="AL68" s="119">
        <f t="shared" si="30"/>
        <v>9845109.4000000004</v>
      </c>
      <c r="AM68" s="119">
        <f t="shared" si="30"/>
        <v>10822492.09</v>
      </c>
      <c r="AN68" s="119">
        <f t="shared" si="30"/>
        <v>1249377.28</v>
      </c>
      <c r="AO68" s="119">
        <f t="shared" si="30"/>
        <v>17721517.620000001</v>
      </c>
      <c r="AP68" s="119">
        <f t="shared" si="30"/>
        <v>4719558.25</v>
      </c>
      <c r="AQ68" s="119">
        <f t="shared" si="30"/>
        <v>4865583.93</v>
      </c>
      <c r="AR68" s="119">
        <f t="shared" si="30"/>
        <v>10399235.339999998</v>
      </c>
      <c r="AS68" s="119">
        <f t="shared" si="30"/>
        <v>5173871.1000000006</v>
      </c>
      <c r="AT68" s="119">
        <f t="shared" si="30"/>
        <v>7129776.3900000015</v>
      </c>
      <c r="AU68" s="119">
        <f t="shared" si="30"/>
        <v>2998911.25</v>
      </c>
      <c r="AV68" s="119">
        <f t="shared" si="30"/>
        <v>18043675.300000001</v>
      </c>
      <c r="AW68" s="119">
        <f t="shared" si="30"/>
        <v>6053066.7800000003</v>
      </c>
      <c r="AX68" s="119">
        <f t="shared" si="30"/>
        <v>1798320.6500000001</v>
      </c>
      <c r="AY68" s="119">
        <f t="shared" si="30"/>
        <v>1211225.3499999999</v>
      </c>
      <c r="AZ68" s="119">
        <f t="shared" si="30"/>
        <v>18532078.25</v>
      </c>
      <c r="BA68" s="119">
        <f t="shared" si="30"/>
        <v>3678145.16</v>
      </c>
      <c r="BB68" s="119">
        <f t="shared" si="30"/>
        <v>10837440.08</v>
      </c>
      <c r="BC68" s="119">
        <f t="shared" si="30"/>
        <v>57658424.080000013</v>
      </c>
      <c r="BD68" s="119">
        <f t="shared" si="30"/>
        <v>3889816.2</v>
      </c>
      <c r="BE68" s="119">
        <f t="shared" ref="BE68:BE78" si="31">SUM(F68:BD68)</f>
        <v>592417720.80999982</v>
      </c>
      <c r="BF68" s="119">
        <f t="shared" ref="BF68:BF78" si="32">SUM(F68:X68)</f>
        <v>304264378.64999998</v>
      </c>
      <c r="BG68" s="119">
        <f t="shared" ref="BG68:BG78" si="33">SUM(Y68:AJ68)</f>
        <v>74636000.699999988</v>
      </c>
      <c r="BH68" s="119">
        <f t="shared" ref="BH68:BH78" si="34">SUM(AK68:BD68)</f>
        <v>213517341.46000001</v>
      </c>
      <c r="BI68" s="84"/>
    </row>
    <row r="69" spans="2:61" ht="15" x14ac:dyDescent="0.25">
      <c r="C69" s="85">
        <v>140</v>
      </c>
      <c r="D69" s="85"/>
      <c r="E69" s="85" t="s">
        <v>245</v>
      </c>
      <c r="F69" s="107">
        <f>F70+F71+F72+F73+F74+F75+F76+F77+F78</f>
        <v>10260716.879999999</v>
      </c>
      <c r="G69" s="107">
        <f t="shared" ref="G69:BD69" si="35">G70+G71+G72+G73+G74+G75+G76+G77+G78</f>
        <v>1632822.9899999998</v>
      </c>
      <c r="H69" s="107">
        <f t="shared" si="35"/>
        <v>2720490.45</v>
      </c>
      <c r="I69" s="107">
        <f t="shared" si="35"/>
        <v>2357612.65</v>
      </c>
      <c r="J69" s="107">
        <f t="shared" si="35"/>
        <v>26273530.539999999</v>
      </c>
      <c r="K69" s="107">
        <f t="shared" si="35"/>
        <v>23095220.370000001</v>
      </c>
      <c r="L69" s="107">
        <f t="shared" si="35"/>
        <v>10799683.02</v>
      </c>
      <c r="M69" s="107">
        <f t="shared" si="35"/>
        <v>134149955.27</v>
      </c>
      <c r="N69" s="107">
        <f t="shared" si="35"/>
        <v>7632999.8200000012</v>
      </c>
      <c r="O69" s="107">
        <f t="shared" si="35"/>
        <v>1313458.02</v>
      </c>
      <c r="P69" s="107">
        <f t="shared" si="35"/>
        <v>39566472.919999994</v>
      </c>
      <c r="Q69" s="107">
        <f t="shared" si="35"/>
        <v>2157940.79</v>
      </c>
      <c r="R69" s="107">
        <f t="shared" si="35"/>
        <v>191802.90000000002</v>
      </c>
      <c r="S69" s="107">
        <f t="shared" si="35"/>
        <v>2781354.29</v>
      </c>
      <c r="T69" s="107">
        <f t="shared" si="35"/>
        <v>2596338</v>
      </c>
      <c r="U69" s="107">
        <f t="shared" si="35"/>
        <v>2638208.62</v>
      </c>
      <c r="V69" s="107">
        <f t="shared" si="35"/>
        <v>1052805.6000000001</v>
      </c>
      <c r="W69" s="107">
        <f t="shared" si="35"/>
        <v>2311037.2999999998</v>
      </c>
      <c r="X69" s="107">
        <f t="shared" si="35"/>
        <v>17524190.09</v>
      </c>
      <c r="Y69" s="107">
        <f t="shared" si="35"/>
        <v>2260482.25</v>
      </c>
      <c r="Z69" s="107">
        <f t="shared" si="35"/>
        <v>10047827.68</v>
      </c>
      <c r="AA69" s="107">
        <f t="shared" si="35"/>
        <v>9754534.6500000004</v>
      </c>
      <c r="AB69" s="107">
        <f t="shared" si="35"/>
        <v>1331524.6499999999</v>
      </c>
      <c r="AC69" s="107">
        <f t="shared" si="35"/>
        <v>2529448</v>
      </c>
      <c r="AD69" s="107">
        <f t="shared" si="35"/>
        <v>7223338.8100000005</v>
      </c>
      <c r="AE69" s="107">
        <f t="shared" si="35"/>
        <v>4560030.2</v>
      </c>
      <c r="AF69" s="107">
        <f t="shared" si="35"/>
        <v>5230540.49</v>
      </c>
      <c r="AG69" s="107">
        <f t="shared" si="35"/>
        <v>9373094.7899999991</v>
      </c>
      <c r="AH69" s="107">
        <f t="shared" si="35"/>
        <v>16436163.949999999</v>
      </c>
      <c r="AI69" s="107">
        <f t="shared" si="35"/>
        <v>1850630.96</v>
      </c>
      <c r="AJ69" s="107">
        <f t="shared" si="35"/>
        <v>1267306.2</v>
      </c>
      <c r="AK69" s="107">
        <f t="shared" si="35"/>
        <v>16481023.110000001</v>
      </c>
      <c r="AL69" s="107">
        <f t="shared" si="35"/>
        <v>9845109.4000000004</v>
      </c>
      <c r="AM69" s="107">
        <f t="shared" si="35"/>
        <v>10310225.640000001</v>
      </c>
      <c r="AN69" s="107">
        <f t="shared" si="35"/>
        <v>1198479.23</v>
      </c>
      <c r="AO69" s="107">
        <f t="shared" si="35"/>
        <v>17657333.82</v>
      </c>
      <c r="AP69" s="107">
        <f t="shared" si="35"/>
        <v>4312024.9000000004</v>
      </c>
      <c r="AQ69" s="107">
        <f t="shared" si="35"/>
        <v>4716902.33</v>
      </c>
      <c r="AR69" s="107">
        <f t="shared" si="35"/>
        <v>9819521.6399999987</v>
      </c>
      <c r="AS69" s="107">
        <f t="shared" si="35"/>
        <v>4938700.6500000004</v>
      </c>
      <c r="AT69" s="107">
        <f t="shared" si="35"/>
        <v>6783305.2400000012</v>
      </c>
      <c r="AU69" s="107">
        <f t="shared" si="35"/>
        <v>2950185.05</v>
      </c>
      <c r="AV69" s="107">
        <f t="shared" si="35"/>
        <v>17654942.350000001</v>
      </c>
      <c r="AW69" s="107">
        <f t="shared" si="35"/>
        <v>5906635.6699999999</v>
      </c>
      <c r="AX69" s="107">
        <f t="shared" si="35"/>
        <v>1731081.2000000002</v>
      </c>
      <c r="AY69" s="107">
        <f t="shared" si="35"/>
        <v>1088791.45</v>
      </c>
      <c r="AZ69" s="107">
        <f t="shared" si="35"/>
        <v>17873616.100000001</v>
      </c>
      <c r="BA69" s="107">
        <f t="shared" si="35"/>
        <v>3506965.16</v>
      </c>
      <c r="BB69" s="107">
        <f t="shared" si="35"/>
        <v>10163248.050000001</v>
      </c>
      <c r="BC69" s="107">
        <f t="shared" si="35"/>
        <v>52444070.820000008</v>
      </c>
      <c r="BD69" s="107">
        <f t="shared" si="35"/>
        <v>3782044.3000000003</v>
      </c>
      <c r="BE69" s="107">
        <f t="shared" si="31"/>
        <v>566085769.25999987</v>
      </c>
      <c r="BF69" s="107">
        <f t="shared" si="32"/>
        <v>291056640.51999998</v>
      </c>
      <c r="BG69" s="107">
        <f t="shared" si="33"/>
        <v>71864922.629999995</v>
      </c>
      <c r="BH69" s="107">
        <f t="shared" si="34"/>
        <v>203164206.11000001</v>
      </c>
    </row>
    <row r="70" spans="2:61" ht="15" x14ac:dyDescent="0.25">
      <c r="D70" s="8">
        <v>1400</v>
      </c>
      <c r="E70" s="8" t="s">
        <v>351</v>
      </c>
      <c r="F70" s="13">
        <v>69192.31</v>
      </c>
      <c r="G70" s="13">
        <v>0</v>
      </c>
      <c r="H70" s="13">
        <v>0</v>
      </c>
      <c r="I70" s="13">
        <v>0</v>
      </c>
      <c r="J70" s="13">
        <v>1004175.5</v>
      </c>
      <c r="K70" s="13">
        <v>789448</v>
      </c>
      <c r="L70" s="13">
        <v>152757.04999999999</v>
      </c>
      <c r="M70" s="13">
        <v>3636699.3</v>
      </c>
      <c r="N70" s="13">
        <v>294277.90000000002</v>
      </c>
      <c r="O70" s="13">
        <v>0</v>
      </c>
      <c r="P70" s="13">
        <v>112281.05</v>
      </c>
      <c r="Q70" s="13">
        <v>62587</v>
      </c>
      <c r="R70" s="13">
        <v>0</v>
      </c>
      <c r="S70" s="13">
        <v>0</v>
      </c>
      <c r="T70" s="13">
        <v>19738</v>
      </c>
      <c r="U70" s="13">
        <v>1722063.21</v>
      </c>
      <c r="V70" s="13">
        <v>37200</v>
      </c>
      <c r="W70" s="13">
        <v>0</v>
      </c>
      <c r="X70" s="13">
        <v>196365.95</v>
      </c>
      <c r="Y70" s="13">
        <v>303180</v>
      </c>
      <c r="Z70" s="13">
        <v>278120.25</v>
      </c>
      <c r="AA70" s="13">
        <v>5116804</v>
      </c>
      <c r="AB70" s="13">
        <v>252850</v>
      </c>
      <c r="AC70" s="13">
        <v>120004.95</v>
      </c>
      <c r="AD70" s="13">
        <v>302064.2</v>
      </c>
      <c r="AE70" s="13">
        <v>124943</v>
      </c>
      <c r="AF70" s="13">
        <v>1403620</v>
      </c>
      <c r="AG70" s="13">
        <v>234548</v>
      </c>
      <c r="AH70" s="13">
        <v>1746537.61</v>
      </c>
      <c r="AI70" s="13">
        <v>377426.4</v>
      </c>
      <c r="AJ70" s="13">
        <v>157510</v>
      </c>
      <c r="AK70" s="13">
        <v>92773.5</v>
      </c>
      <c r="AL70" s="13">
        <v>460330</v>
      </c>
      <c r="AM70" s="13">
        <v>327694.5</v>
      </c>
      <c r="AN70" s="13">
        <v>0</v>
      </c>
      <c r="AO70" s="13">
        <v>242000</v>
      </c>
      <c r="AP70" s="13">
        <v>0</v>
      </c>
      <c r="AQ70" s="13">
        <v>2</v>
      </c>
      <c r="AR70" s="13">
        <v>714102.25</v>
      </c>
      <c r="AS70" s="13">
        <v>110720.65</v>
      </c>
      <c r="AT70" s="13">
        <v>528751.25</v>
      </c>
      <c r="AU70" s="13">
        <v>11061</v>
      </c>
      <c r="AV70" s="13">
        <v>3268163</v>
      </c>
      <c r="AW70" s="13">
        <v>419229.4</v>
      </c>
      <c r="AX70" s="13">
        <v>0</v>
      </c>
      <c r="AY70" s="13">
        <v>307240</v>
      </c>
      <c r="AZ70" s="13">
        <v>538500</v>
      </c>
      <c r="BA70" s="13">
        <v>213700</v>
      </c>
      <c r="BB70" s="13">
        <v>937743.38</v>
      </c>
      <c r="BC70" s="13">
        <v>128375.47</v>
      </c>
      <c r="BD70" s="13">
        <v>163195</v>
      </c>
      <c r="BE70" s="95">
        <f t="shared" si="31"/>
        <v>26977975.079999991</v>
      </c>
      <c r="BF70" s="95">
        <f t="shared" si="32"/>
        <v>8096785.2700000005</v>
      </c>
      <c r="BG70" s="95">
        <f t="shared" si="33"/>
        <v>10417608.41</v>
      </c>
      <c r="BH70" s="95">
        <f t="shared" si="34"/>
        <v>8463581.4000000004</v>
      </c>
    </row>
    <row r="71" spans="2:61" ht="15" x14ac:dyDescent="0.25">
      <c r="D71" s="8">
        <v>1401</v>
      </c>
      <c r="E71" s="8" t="s">
        <v>352</v>
      </c>
      <c r="F71" s="13">
        <v>2617282.5499999998</v>
      </c>
      <c r="G71" s="13">
        <v>773518.34</v>
      </c>
      <c r="H71" s="13">
        <v>108000</v>
      </c>
      <c r="I71" s="13">
        <v>464419.79</v>
      </c>
      <c r="J71" s="13">
        <v>2511651.5099999998</v>
      </c>
      <c r="K71" s="13">
        <v>2377670.2999999998</v>
      </c>
      <c r="L71" s="13">
        <v>2442432.25</v>
      </c>
      <c r="M71" s="13">
        <v>18709340.809999999</v>
      </c>
      <c r="N71" s="13">
        <v>2199299.75</v>
      </c>
      <c r="O71" s="13">
        <v>128800</v>
      </c>
      <c r="P71" s="13">
        <v>13090337.619999999</v>
      </c>
      <c r="Q71" s="13">
        <v>619755.79</v>
      </c>
      <c r="R71" s="13">
        <v>74212.600000000006</v>
      </c>
      <c r="S71" s="13">
        <v>1235800</v>
      </c>
      <c r="T71" s="13">
        <v>1054900</v>
      </c>
      <c r="U71" s="13">
        <v>0</v>
      </c>
      <c r="V71" s="13">
        <v>398613.6</v>
      </c>
      <c r="W71" s="13">
        <v>924850</v>
      </c>
      <c r="X71" s="13">
        <v>3209187.72</v>
      </c>
      <c r="Y71" s="13">
        <v>381595.55</v>
      </c>
      <c r="Z71" s="13">
        <v>1330664.6000000001</v>
      </c>
      <c r="AA71" s="13">
        <v>1366675</v>
      </c>
      <c r="AB71" s="13">
        <v>489000</v>
      </c>
      <c r="AC71" s="13">
        <v>287697</v>
      </c>
      <c r="AD71" s="13">
        <v>1694525.84</v>
      </c>
      <c r="AE71" s="13">
        <v>760481.05</v>
      </c>
      <c r="AF71" s="13">
        <v>854749.04</v>
      </c>
      <c r="AG71" s="13">
        <v>3270216.09</v>
      </c>
      <c r="AH71" s="13">
        <v>3073344.5</v>
      </c>
      <c r="AI71" s="13">
        <v>470746.16</v>
      </c>
      <c r="AJ71" s="13">
        <v>283600</v>
      </c>
      <c r="AK71" s="13">
        <v>3725555.9</v>
      </c>
      <c r="AL71" s="13">
        <v>2213761.9500000002</v>
      </c>
      <c r="AM71" s="13">
        <v>2953640.46</v>
      </c>
      <c r="AN71" s="13">
        <v>386685.99</v>
      </c>
      <c r="AO71" s="13">
        <v>6585916.2999999998</v>
      </c>
      <c r="AP71" s="13">
        <v>1644889.65</v>
      </c>
      <c r="AQ71" s="13">
        <v>597194.42000000004</v>
      </c>
      <c r="AR71" s="13">
        <v>1515261.98</v>
      </c>
      <c r="AS71" s="13">
        <v>1521400</v>
      </c>
      <c r="AT71" s="13">
        <v>824203.94</v>
      </c>
      <c r="AU71" s="13">
        <v>668011</v>
      </c>
      <c r="AV71" s="13">
        <v>3453763</v>
      </c>
      <c r="AW71" s="13">
        <v>2138089.48</v>
      </c>
      <c r="AX71" s="13">
        <v>612345.65</v>
      </c>
      <c r="AY71" s="13">
        <v>126305</v>
      </c>
      <c r="AZ71" s="13">
        <v>4307302.5</v>
      </c>
      <c r="BA71" s="13">
        <v>706017.5</v>
      </c>
      <c r="BB71" s="13">
        <v>2779785.67</v>
      </c>
      <c r="BC71" s="13">
        <v>9648495.3699999992</v>
      </c>
      <c r="BD71" s="13">
        <v>620400</v>
      </c>
      <c r="BE71" s="95">
        <f t="shared" si="31"/>
        <v>114232393.22000001</v>
      </c>
      <c r="BF71" s="95">
        <f t="shared" si="32"/>
        <v>52940072.629999995</v>
      </c>
      <c r="BG71" s="95">
        <f t="shared" si="33"/>
        <v>14263294.83</v>
      </c>
      <c r="BH71" s="95">
        <f t="shared" si="34"/>
        <v>47029025.759999998</v>
      </c>
    </row>
    <row r="72" spans="2:61" ht="15" x14ac:dyDescent="0.25">
      <c r="D72" s="8">
        <v>1402</v>
      </c>
      <c r="E72" s="8" t="s">
        <v>353</v>
      </c>
      <c r="F72" s="13">
        <v>0</v>
      </c>
      <c r="G72" s="13">
        <v>0</v>
      </c>
      <c r="H72" s="13">
        <v>0</v>
      </c>
      <c r="I72" s="13">
        <v>0</v>
      </c>
      <c r="J72" s="13">
        <v>244402.98</v>
      </c>
      <c r="K72" s="13">
        <v>0</v>
      </c>
      <c r="L72" s="13">
        <v>142960</v>
      </c>
      <c r="M72" s="13">
        <v>3575046.91</v>
      </c>
      <c r="N72" s="13">
        <v>347223.7</v>
      </c>
      <c r="O72" s="13">
        <v>0</v>
      </c>
      <c r="P72" s="13">
        <v>164914.04999999999</v>
      </c>
      <c r="Q72" s="13">
        <v>0</v>
      </c>
      <c r="R72" s="13">
        <v>0</v>
      </c>
      <c r="S72" s="13">
        <v>0</v>
      </c>
      <c r="T72" s="13">
        <v>0</v>
      </c>
      <c r="U72" s="13">
        <v>0</v>
      </c>
      <c r="V72" s="13">
        <v>0</v>
      </c>
      <c r="W72" s="13">
        <v>306920.3</v>
      </c>
      <c r="X72" s="13">
        <v>0</v>
      </c>
      <c r="Y72" s="13">
        <v>0</v>
      </c>
      <c r="Z72" s="13">
        <v>0</v>
      </c>
      <c r="AA72" s="13">
        <v>0</v>
      </c>
      <c r="AB72" s="13">
        <v>0</v>
      </c>
      <c r="AC72" s="13">
        <v>0</v>
      </c>
      <c r="AD72" s="13">
        <v>27194</v>
      </c>
      <c r="AE72" s="13">
        <v>1</v>
      </c>
      <c r="AF72" s="13">
        <v>0</v>
      </c>
      <c r="AG72" s="13">
        <v>646</v>
      </c>
      <c r="AH72" s="13">
        <v>0</v>
      </c>
      <c r="AI72" s="13">
        <v>0</v>
      </c>
      <c r="AJ72" s="13">
        <v>0</v>
      </c>
      <c r="AK72" s="13">
        <v>1</v>
      </c>
      <c r="AL72" s="13">
        <v>0</v>
      </c>
      <c r="AM72" s="13">
        <v>138005.1</v>
      </c>
      <c r="AN72" s="13">
        <v>0</v>
      </c>
      <c r="AO72" s="13">
        <v>575510.85</v>
      </c>
      <c r="AP72" s="13">
        <v>0</v>
      </c>
      <c r="AQ72" s="13">
        <v>0</v>
      </c>
      <c r="AR72" s="13">
        <v>0</v>
      </c>
      <c r="AS72" s="13">
        <v>0</v>
      </c>
      <c r="AT72" s="13">
        <v>85710.95</v>
      </c>
      <c r="AU72" s="13">
        <v>53059.55</v>
      </c>
      <c r="AV72" s="13">
        <v>72504</v>
      </c>
      <c r="AW72" s="13">
        <v>0</v>
      </c>
      <c r="AX72" s="13">
        <v>0</v>
      </c>
      <c r="AY72" s="13">
        <v>0</v>
      </c>
      <c r="AZ72" s="13">
        <v>112000</v>
      </c>
      <c r="BA72" s="13">
        <v>0</v>
      </c>
      <c r="BB72" s="13">
        <v>0</v>
      </c>
      <c r="BC72" s="13">
        <v>141904.65</v>
      </c>
      <c r="BD72" s="13">
        <v>9883.6</v>
      </c>
      <c r="BE72" s="95">
        <f t="shared" si="31"/>
        <v>5997888.6399999987</v>
      </c>
      <c r="BF72" s="95">
        <f t="shared" si="32"/>
        <v>4781467.9399999995</v>
      </c>
      <c r="BG72" s="95">
        <f t="shared" si="33"/>
        <v>27841</v>
      </c>
      <c r="BH72" s="95">
        <f t="shared" si="34"/>
        <v>1188579.7</v>
      </c>
    </row>
    <row r="73" spans="2:61" ht="15" x14ac:dyDescent="0.25">
      <c r="D73" s="8">
        <v>1403</v>
      </c>
      <c r="E73" s="8" t="s">
        <v>354</v>
      </c>
      <c r="F73" s="13">
        <v>5089386.58</v>
      </c>
      <c r="G73" s="13">
        <v>688016.25</v>
      </c>
      <c r="H73" s="13">
        <v>34343.449999999997</v>
      </c>
      <c r="I73" s="13">
        <v>365893.61</v>
      </c>
      <c r="J73" s="13">
        <v>3350613.51</v>
      </c>
      <c r="K73" s="13">
        <v>4801449.75</v>
      </c>
      <c r="L73" s="13">
        <v>2573748.0499999998</v>
      </c>
      <c r="M73" s="13">
        <v>44394198.43</v>
      </c>
      <c r="N73" s="13">
        <v>930193.16</v>
      </c>
      <c r="O73" s="13">
        <v>459391.6</v>
      </c>
      <c r="P73" s="13">
        <v>5807958</v>
      </c>
      <c r="Q73" s="13">
        <v>1</v>
      </c>
      <c r="R73" s="13">
        <v>63090.3</v>
      </c>
      <c r="S73" s="13">
        <v>420931.79</v>
      </c>
      <c r="T73" s="13">
        <v>1079250</v>
      </c>
      <c r="U73" s="13">
        <v>719828.46</v>
      </c>
      <c r="V73" s="13">
        <v>489818</v>
      </c>
      <c r="W73" s="13">
        <v>369347</v>
      </c>
      <c r="X73" s="13">
        <v>1744950.25</v>
      </c>
      <c r="Y73" s="13">
        <v>163675.4</v>
      </c>
      <c r="Z73" s="13">
        <v>1067508.3999999999</v>
      </c>
      <c r="AA73" s="13">
        <v>664041.5</v>
      </c>
      <c r="AB73" s="13">
        <v>0</v>
      </c>
      <c r="AC73" s="13">
        <v>941151.75</v>
      </c>
      <c r="AD73" s="13">
        <v>1479676.38</v>
      </c>
      <c r="AE73" s="13">
        <v>798706.95</v>
      </c>
      <c r="AF73" s="13">
        <v>193436.68</v>
      </c>
      <c r="AG73" s="13">
        <v>528446.1</v>
      </c>
      <c r="AH73" s="13">
        <v>4687605.7699999996</v>
      </c>
      <c r="AI73" s="13">
        <v>182887.55</v>
      </c>
      <c r="AJ73" s="13">
        <v>36750</v>
      </c>
      <c r="AK73" s="13">
        <v>3631576.59</v>
      </c>
      <c r="AL73" s="13">
        <v>2777355.1</v>
      </c>
      <c r="AM73" s="13">
        <v>1254994.73</v>
      </c>
      <c r="AN73" s="13">
        <v>415873</v>
      </c>
      <c r="AO73" s="13">
        <v>5118593.45</v>
      </c>
      <c r="AP73" s="13">
        <v>390571.45</v>
      </c>
      <c r="AQ73" s="13">
        <v>2023537.69</v>
      </c>
      <c r="AR73" s="13">
        <v>2127374.71</v>
      </c>
      <c r="AS73" s="13">
        <v>939180</v>
      </c>
      <c r="AT73" s="13">
        <v>1870488.01</v>
      </c>
      <c r="AU73" s="13">
        <v>911401</v>
      </c>
      <c r="AV73" s="13">
        <v>5330858</v>
      </c>
      <c r="AW73" s="13">
        <v>1616797.6</v>
      </c>
      <c r="AX73" s="13">
        <v>238565</v>
      </c>
      <c r="AY73" s="13">
        <v>152943</v>
      </c>
      <c r="AZ73" s="13">
        <v>3830020</v>
      </c>
      <c r="BA73" s="13">
        <v>706642.5</v>
      </c>
      <c r="BB73" s="13">
        <v>1748453.47</v>
      </c>
      <c r="BC73" s="13">
        <v>3470988.68</v>
      </c>
      <c r="BD73" s="13">
        <v>224300</v>
      </c>
      <c r="BE73" s="95">
        <f t="shared" si="31"/>
        <v>122906809.64999999</v>
      </c>
      <c r="BF73" s="95">
        <f t="shared" si="32"/>
        <v>73382409.189999983</v>
      </c>
      <c r="BG73" s="95">
        <f t="shared" si="33"/>
        <v>10743886.48</v>
      </c>
      <c r="BH73" s="95">
        <f t="shared" si="34"/>
        <v>38780513.980000004</v>
      </c>
    </row>
    <row r="74" spans="2:61" ht="15" x14ac:dyDescent="0.25">
      <c r="D74" s="8">
        <v>1404</v>
      </c>
      <c r="E74" s="8" t="s">
        <v>355</v>
      </c>
      <c r="F74" s="13">
        <v>532219.19999999995</v>
      </c>
      <c r="G74" s="13">
        <v>146908.4</v>
      </c>
      <c r="H74" s="13">
        <v>2231866.1</v>
      </c>
      <c r="I74" s="13">
        <v>1527299.25</v>
      </c>
      <c r="J74" s="13">
        <v>10668324.859999999</v>
      </c>
      <c r="K74" s="13">
        <v>11336878.52</v>
      </c>
      <c r="L74" s="13">
        <v>2826398.2</v>
      </c>
      <c r="M74" s="13">
        <v>58902815.25</v>
      </c>
      <c r="N74" s="13">
        <v>2766201.55</v>
      </c>
      <c r="O74" s="13">
        <v>725266.42</v>
      </c>
      <c r="P74" s="13">
        <v>15022884.050000001</v>
      </c>
      <c r="Q74" s="13">
        <v>1391961</v>
      </c>
      <c r="R74" s="13">
        <v>54500</v>
      </c>
      <c r="S74" s="13">
        <v>979900</v>
      </c>
      <c r="T74" s="13">
        <v>442450</v>
      </c>
      <c r="U74" s="13">
        <v>81667.100000000006</v>
      </c>
      <c r="V74" s="13">
        <v>105574</v>
      </c>
      <c r="W74" s="13">
        <v>697920</v>
      </c>
      <c r="X74" s="13">
        <v>9366636.1899999995</v>
      </c>
      <c r="Y74" s="13">
        <v>621168.55000000005</v>
      </c>
      <c r="Z74" s="13">
        <v>6999423.7800000003</v>
      </c>
      <c r="AA74" s="13">
        <v>0</v>
      </c>
      <c r="AB74" s="13">
        <v>0</v>
      </c>
      <c r="AC74" s="13">
        <v>601442</v>
      </c>
      <c r="AD74" s="13">
        <v>3242003.73</v>
      </c>
      <c r="AE74" s="13">
        <v>1958567.9</v>
      </c>
      <c r="AF74" s="13">
        <v>2249274.77</v>
      </c>
      <c r="AG74" s="13">
        <v>2524187.15</v>
      </c>
      <c r="AH74" s="13">
        <v>5170260.82</v>
      </c>
      <c r="AI74" s="13">
        <v>272164.84999999998</v>
      </c>
      <c r="AJ74" s="13">
        <v>0</v>
      </c>
      <c r="AK74" s="13">
        <v>7630275.9699999997</v>
      </c>
      <c r="AL74" s="13">
        <v>1429120.05</v>
      </c>
      <c r="AM74" s="13">
        <v>3512043.7</v>
      </c>
      <c r="AN74" s="13">
        <v>54560.24</v>
      </c>
      <c r="AO74" s="13">
        <v>3736362.68</v>
      </c>
      <c r="AP74" s="13">
        <v>709865.2</v>
      </c>
      <c r="AQ74" s="13">
        <v>1484673.3</v>
      </c>
      <c r="AR74" s="13">
        <v>931743.75</v>
      </c>
      <c r="AS74" s="13">
        <v>1289000</v>
      </c>
      <c r="AT74" s="13">
        <v>2310494.9900000002</v>
      </c>
      <c r="AU74" s="13">
        <v>385071.5</v>
      </c>
      <c r="AV74" s="13">
        <v>3540578.85</v>
      </c>
      <c r="AW74" s="13">
        <v>207387.81</v>
      </c>
      <c r="AX74" s="13">
        <v>131831</v>
      </c>
      <c r="AY74" s="13">
        <v>87801</v>
      </c>
      <c r="AZ74" s="13">
        <v>5337102</v>
      </c>
      <c r="BA74" s="13">
        <v>98280</v>
      </c>
      <c r="BB74" s="13">
        <v>1657026.75</v>
      </c>
      <c r="BC74" s="13">
        <v>34483058.18</v>
      </c>
      <c r="BD74" s="13">
        <v>1023073.1</v>
      </c>
      <c r="BE74" s="95">
        <f t="shared" si="31"/>
        <v>213485513.71000001</v>
      </c>
      <c r="BF74" s="95">
        <f t="shared" si="32"/>
        <v>119807670.08999999</v>
      </c>
      <c r="BG74" s="95">
        <f t="shared" si="33"/>
        <v>23638493.550000001</v>
      </c>
      <c r="BH74" s="95">
        <f t="shared" si="34"/>
        <v>70039350.069999993</v>
      </c>
    </row>
    <row r="75" spans="2:61" ht="15" x14ac:dyDescent="0.25">
      <c r="D75" s="8">
        <v>1405</v>
      </c>
      <c r="E75" s="8" t="s">
        <v>356</v>
      </c>
      <c r="F75" s="13">
        <v>0</v>
      </c>
      <c r="G75" s="13">
        <v>0</v>
      </c>
      <c r="H75" s="13">
        <v>0</v>
      </c>
      <c r="I75" s="13">
        <v>0</v>
      </c>
      <c r="J75" s="13">
        <v>572510</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2133256</v>
      </c>
      <c r="AB75" s="13">
        <v>568660</v>
      </c>
      <c r="AC75" s="13">
        <v>517690</v>
      </c>
      <c r="AD75" s="13">
        <v>370281.26</v>
      </c>
      <c r="AE75" s="13">
        <v>906658</v>
      </c>
      <c r="AF75" s="13">
        <v>529460</v>
      </c>
      <c r="AG75" s="13">
        <v>317781.05</v>
      </c>
      <c r="AH75" s="13">
        <v>1443269.15</v>
      </c>
      <c r="AI75" s="13">
        <v>513240</v>
      </c>
      <c r="AJ75" s="13">
        <v>481320</v>
      </c>
      <c r="AK75" s="13">
        <v>1257120</v>
      </c>
      <c r="AL75" s="13">
        <v>2927443.4</v>
      </c>
      <c r="AM75" s="13">
        <v>2006648.8</v>
      </c>
      <c r="AN75" s="13">
        <v>341360</v>
      </c>
      <c r="AO75" s="13">
        <v>777663</v>
      </c>
      <c r="AP75" s="13">
        <v>1397940</v>
      </c>
      <c r="AQ75" s="13">
        <v>449600</v>
      </c>
      <c r="AR75" s="13">
        <v>3033211</v>
      </c>
      <c r="AS75" s="13">
        <v>1060400</v>
      </c>
      <c r="AT75" s="13">
        <v>1018940</v>
      </c>
      <c r="AU75" s="13">
        <v>921580</v>
      </c>
      <c r="AV75" s="13">
        <v>1749206</v>
      </c>
      <c r="AW75" s="13">
        <v>1001970</v>
      </c>
      <c r="AX75" s="13">
        <v>748338.55</v>
      </c>
      <c r="AY75" s="13">
        <v>358610</v>
      </c>
      <c r="AZ75" s="13">
        <v>2716586.55</v>
      </c>
      <c r="BA75" s="13">
        <v>272620</v>
      </c>
      <c r="BB75" s="13">
        <v>2104103</v>
      </c>
      <c r="BC75" s="13">
        <v>0</v>
      </c>
      <c r="BD75" s="13">
        <v>1211010</v>
      </c>
      <c r="BE75" s="95">
        <f t="shared" si="31"/>
        <v>34435915.760000005</v>
      </c>
      <c r="BF75" s="95">
        <f t="shared" si="32"/>
        <v>583250</v>
      </c>
      <c r="BG75" s="95">
        <f t="shared" si="33"/>
        <v>8498315.459999999</v>
      </c>
      <c r="BH75" s="95">
        <f t="shared" si="34"/>
        <v>25354350.300000001</v>
      </c>
    </row>
    <row r="76" spans="2:61" ht="15" x14ac:dyDescent="0.25">
      <c r="D76" s="8">
        <v>1406</v>
      </c>
      <c r="E76" s="8" t="s">
        <v>357</v>
      </c>
      <c r="F76" s="13">
        <v>74707.37</v>
      </c>
      <c r="G76" s="13">
        <v>22880</v>
      </c>
      <c r="H76" s="13">
        <v>149335.85</v>
      </c>
      <c r="I76" s="13">
        <v>0</v>
      </c>
      <c r="J76" s="13">
        <v>1046160.4</v>
      </c>
      <c r="K76" s="13">
        <v>59917.8</v>
      </c>
      <c r="L76" s="13">
        <v>131583.54999999999</v>
      </c>
      <c r="M76" s="13">
        <v>2773353.82</v>
      </c>
      <c r="N76" s="13">
        <v>200944.9</v>
      </c>
      <c r="O76" s="13">
        <v>0</v>
      </c>
      <c r="P76" s="13">
        <v>728211.5</v>
      </c>
      <c r="Q76" s="13">
        <v>83636</v>
      </c>
      <c r="R76" s="13">
        <v>0</v>
      </c>
      <c r="S76" s="13">
        <v>0</v>
      </c>
      <c r="T76" s="13">
        <v>0</v>
      </c>
      <c r="U76" s="13">
        <v>-4401</v>
      </c>
      <c r="V76" s="13">
        <v>21600</v>
      </c>
      <c r="W76" s="13">
        <v>12000</v>
      </c>
      <c r="X76" s="13">
        <v>187356.16</v>
      </c>
      <c r="Y76" s="13">
        <v>25200</v>
      </c>
      <c r="Z76" s="13">
        <v>209759.45</v>
      </c>
      <c r="AA76" s="13">
        <v>299903</v>
      </c>
      <c r="AB76" s="13">
        <v>4200</v>
      </c>
      <c r="AC76" s="13">
        <v>61462.3</v>
      </c>
      <c r="AD76" s="13">
        <v>107593.4</v>
      </c>
      <c r="AE76" s="13">
        <v>2</v>
      </c>
      <c r="AF76" s="13">
        <v>0</v>
      </c>
      <c r="AG76" s="13">
        <v>219095.7</v>
      </c>
      <c r="AH76" s="13">
        <v>301013.90000000002</v>
      </c>
      <c r="AI76" s="13">
        <v>18666</v>
      </c>
      <c r="AJ76" s="13">
        <v>0</v>
      </c>
      <c r="AK76" s="13">
        <v>143720.15</v>
      </c>
      <c r="AL76" s="13">
        <v>37098.9</v>
      </c>
      <c r="AM76" s="13">
        <v>81495.100000000006</v>
      </c>
      <c r="AN76" s="13">
        <v>0</v>
      </c>
      <c r="AO76" s="13">
        <v>248059.64</v>
      </c>
      <c r="AP76" s="13">
        <v>25512.85</v>
      </c>
      <c r="AQ76" s="13">
        <v>56835.45</v>
      </c>
      <c r="AR76" s="13">
        <v>156588.75</v>
      </c>
      <c r="AS76" s="13">
        <v>18000</v>
      </c>
      <c r="AT76" s="13">
        <v>82132.2</v>
      </c>
      <c r="AU76" s="13">
        <v>1</v>
      </c>
      <c r="AV76" s="13">
        <v>179330</v>
      </c>
      <c r="AW76" s="13">
        <v>35601.22</v>
      </c>
      <c r="AX76" s="13">
        <v>1</v>
      </c>
      <c r="AY76" s="13">
        <v>1</v>
      </c>
      <c r="AZ76" s="13">
        <v>112960</v>
      </c>
      <c r="BA76" s="13">
        <v>0</v>
      </c>
      <c r="BB76" s="13">
        <v>2677.07</v>
      </c>
      <c r="BC76" s="13">
        <v>997648.59</v>
      </c>
      <c r="BD76" s="13">
        <v>3</v>
      </c>
      <c r="BE76" s="95">
        <f t="shared" si="31"/>
        <v>8911848.0200000014</v>
      </c>
      <c r="BF76" s="95">
        <f t="shared" si="32"/>
        <v>5487286.3500000006</v>
      </c>
      <c r="BG76" s="95">
        <f t="shared" si="33"/>
        <v>1246895.75</v>
      </c>
      <c r="BH76" s="95">
        <f t="shared" si="34"/>
        <v>2177665.92</v>
      </c>
    </row>
    <row r="77" spans="2:61" ht="15" x14ac:dyDescent="0.25">
      <c r="D77" s="8">
        <v>1407</v>
      </c>
      <c r="E77" s="8" t="s">
        <v>358</v>
      </c>
      <c r="F77" s="13">
        <v>1877928.87</v>
      </c>
      <c r="G77" s="13">
        <v>1500</v>
      </c>
      <c r="H77" s="13">
        <v>196945.05</v>
      </c>
      <c r="I77" s="13">
        <v>0</v>
      </c>
      <c r="J77" s="13">
        <v>6875691.7800000003</v>
      </c>
      <c r="K77" s="13">
        <v>3721076</v>
      </c>
      <c r="L77" s="13">
        <v>2529803.92</v>
      </c>
      <c r="M77" s="13">
        <v>2158500.75</v>
      </c>
      <c r="N77" s="13">
        <v>892898.86</v>
      </c>
      <c r="O77" s="13">
        <v>0</v>
      </c>
      <c r="P77" s="13">
        <v>4639886.6500000004</v>
      </c>
      <c r="Q77" s="13">
        <v>0</v>
      </c>
      <c r="R77" s="13">
        <v>0</v>
      </c>
      <c r="S77" s="13">
        <v>144722.5</v>
      </c>
      <c r="T77" s="13">
        <v>0</v>
      </c>
      <c r="U77" s="13">
        <v>119050.85</v>
      </c>
      <c r="V77" s="13">
        <v>0</v>
      </c>
      <c r="W77" s="13">
        <v>0</v>
      </c>
      <c r="X77" s="13">
        <v>2819693.82</v>
      </c>
      <c r="Y77" s="13">
        <v>48962.75</v>
      </c>
      <c r="Z77" s="13">
        <v>162351.20000000001</v>
      </c>
      <c r="AA77" s="13">
        <v>173855.15</v>
      </c>
      <c r="AB77" s="13">
        <v>16814.650000000001</v>
      </c>
      <c r="AC77" s="13">
        <v>0</v>
      </c>
      <c r="AD77" s="13">
        <v>0</v>
      </c>
      <c r="AE77" s="13">
        <v>10670.3</v>
      </c>
      <c r="AF77" s="13">
        <v>0</v>
      </c>
      <c r="AG77" s="13">
        <v>2278174.7000000002</v>
      </c>
      <c r="AH77" s="13">
        <v>14132.2</v>
      </c>
      <c r="AI77" s="13">
        <v>15500</v>
      </c>
      <c r="AJ77" s="13">
        <v>308126.2</v>
      </c>
      <c r="AK77" s="13">
        <v>0</v>
      </c>
      <c r="AL77" s="13">
        <v>0</v>
      </c>
      <c r="AM77" s="13">
        <v>35703.25</v>
      </c>
      <c r="AN77" s="13">
        <v>0</v>
      </c>
      <c r="AO77" s="13">
        <v>373227.9</v>
      </c>
      <c r="AP77" s="13">
        <v>143245.75</v>
      </c>
      <c r="AQ77" s="13">
        <v>105059.47</v>
      </c>
      <c r="AR77" s="13">
        <v>1341239.2</v>
      </c>
      <c r="AS77" s="13">
        <v>0</v>
      </c>
      <c r="AT77" s="13">
        <v>54937.9</v>
      </c>
      <c r="AU77" s="13">
        <v>0</v>
      </c>
      <c r="AV77" s="13">
        <v>60539.5</v>
      </c>
      <c r="AW77" s="13">
        <v>487560.16</v>
      </c>
      <c r="AX77" s="13">
        <v>0</v>
      </c>
      <c r="AY77" s="13">
        <v>55891.45</v>
      </c>
      <c r="AZ77" s="13">
        <v>919145.05</v>
      </c>
      <c r="BA77" s="13">
        <v>1509705.16</v>
      </c>
      <c r="BB77" s="13">
        <v>933458.71</v>
      </c>
      <c r="BC77" s="13">
        <v>3573599.88</v>
      </c>
      <c r="BD77" s="13">
        <v>530179.6</v>
      </c>
      <c r="BE77" s="95">
        <f t="shared" si="31"/>
        <v>39129779.18</v>
      </c>
      <c r="BF77" s="95">
        <f t="shared" si="32"/>
        <v>25977699.050000004</v>
      </c>
      <c r="BG77" s="95">
        <f t="shared" si="33"/>
        <v>3028587.1500000004</v>
      </c>
      <c r="BH77" s="95">
        <f t="shared" si="34"/>
        <v>10123492.979999999</v>
      </c>
    </row>
    <row r="78" spans="2:61"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7646</v>
      </c>
      <c r="AU78" s="13">
        <v>0</v>
      </c>
      <c r="AV78" s="13">
        <v>0</v>
      </c>
      <c r="AW78" s="13">
        <v>0</v>
      </c>
      <c r="AX78" s="13">
        <v>0</v>
      </c>
      <c r="AY78" s="13">
        <v>0</v>
      </c>
      <c r="AZ78" s="13">
        <v>0</v>
      </c>
      <c r="BA78" s="13">
        <v>0</v>
      </c>
      <c r="BB78" s="13">
        <v>0</v>
      </c>
      <c r="BC78" s="13">
        <v>0</v>
      </c>
      <c r="BD78" s="13">
        <v>0</v>
      </c>
      <c r="BE78" s="95">
        <f t="shared" si="31"/>
        <v>7646</v>
      </c>
      <c r="BF78" s="95">
        <f t="shared" si="32"/>
        <v>0</v>
      </c>
      <c r="BG78" s="95">
        <f t="shared" si="33"/>
        <v>0</v>
      </c>
      <c r="BH78" s="95">
        <f t="shared" si="34"/>
        <v>7646</v>
      </c>
    </row>
    <row r="79" spans="2:61"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95"/>
      <c r="BF79" s="95"/>
      <c r="BG79" s="95"/>
      <c r="BH79" s="95"/>
    </row>
    <row r="80" spans="2:61" ht="15" x14ac:dyDescent="0.25">
      <c r="C80" s="85">
        <v>142</v>
      </c>
      <c r="D80" s="85"/>
      <c r="E80" s="85" t="s">
        <v>571</v>
      </c>
      <c r="F80" s="107">
        <f t="shared" ref="F80:O80" si="36">F81+F82+F83+F84</f>
        <v>31103.85</v>
      </c>
      <c r="G80" s="107">
        <f t="shared" si="36"/>
        <v>93170.45</v>
      </c>
      <c r="H80" s="107">
        <f t="shared" si="36"/>
        <v>75675.649999999994</v>
      </c>
      <c r="I80" s="107">
        <f t="shared" si="36"/>
        <v>75124.350000000006</v>
      </c>
      <c r="J80" s="107">
        <f t="shared" si="36"/>
        <v>585541.47</v>
      </c>
      <c r="K80" s="107">
        <f t="shared" si="36"/>
        <v>121459.4</v>
      </c>
      <c r="L80" s="107">
        <f t="shared" si="36"/>
        <v>453033.52999999997</v>
      </c>
      <c r="M80" s="107">
        <f t="shared" si="36"/>
        <v>773195.35</v>
      </c>
      <c r="N80" s="107">
        <f t="shared" si="36"/>
        <v>115064.65</v>
      </c>
      <c r="O80" s="107">
        <f t="shared" si="36"/>
        <v>0</v>
      </c>
      <c r="P80" s="107">
        <f>P81+P82+P83+P84</f>
        <v>680885.45000000007</v>
      </c>
      <c r="Q80" s="107">
        <f t="shared" ref="Q80:BD80" si="37">Q81+Q82+Q83+Q84</f>
        <v>0</v>
      </c>
      <c r="R80" s="107">
        <f t="shared" si="37"/>
        <v>48447.85</v>
      </c>
      <c r="S80" s="107">
        <f t="shared" si="37"/>
        <v>38885.040000000001</v>
      </c>
      <c r="T80" s="107">
        <f t="shared" si="37"/>
        <v>20556.400000000001</v>
      </c>
      <c r="U80" s="107">
        <f t="shared" si="37"/>
        <v>22568.720000000001</v>
      </c>
      <c r="V80" s="107">
        <f t="shared" si="37"/>
        <v>82340</v>
      </c>
      <c r="W80" s="107">
        <f t="shared" si="37"/>
        <v>183813.7</v>
      </c>
      <c r="X80" s="107">
        <f t="shared" si="37"/>
        <v>404524.55</v>
      </c>
      <c r="Y80" s="107">
        <f t="shared" si="37"/>
        <v>18197.7</v>
      </c>
      <c r="Z80" s="107">
        <f t="shared" si="37"/>
        <v>113240.1</v>
      </c>
      <c r="AA80" s="107">
        <f t="shared" si="37"/>
        <v>60900</v>
      </c>
      <c r="AB80" s="107">
        <f t="shared" si="37"/>
        <v>16652.5</v>
      </c>
      <c r="AC80" s="107">
        <f t="shared" si="37"/>
        <v>389281.43</v>
      </c>
      <c r="AD80" s="107">
        <f t="shared" si="37"/>
        <v>5773.3</v>
      </c>
      <c r="AE80" s="107">
        <f t="shared" si="37"/>
        <v>96103.05</v>
      </c>
      <c r="AF80" s="107">
        <f t="shared" si="37"/>
        <v>57789.72</v>
      </c>
      <c r="AG80" s="107">
        <f t="shared" si="37"/>
        <v>244691.3</v>
      </c>
      <c r="AH80" s="107">
        <f t="shared" si="37"/>
        <v>182930.9</v>
      </c>
      <c r="AI80" s="107">
        <f t="shared" si="37"/>
        <v>41623.9</v>
      </c>
      <c r="AJ80" s="107">
        <f t="shared" si="37"/>
        <v>45738.5</v>
      </c>
      <c r="AK80" s="107">
        <f t="shared" si="37"/>
        <v>408693.85</v>
      </c>
      <c r="AL80" s="107">
        <f t="shared" si="37"/>
        <v>0</v>
      </c>
      <c r="AM80" s="107">
        <f t="shared" si="37"/>
        <v>474899.45</v>
      </c>
      <c r="AN80" s="107">
        <f t="shared" si="37"/>
        <v>47992.05</v>
      </c>
      <c r="AO80" s="107">
        <f t="shared" si="37"/>
        <v>51780.800000000003</v>
      </c>
      <c r="AP80" s="107">
        <f t="shared" si="37"/>
        <v>330090.34999999998</v>
      </c>
      <c r="AQ80" s="107">
        <f t="shared" si="37"/>
        <v>16732.599999999999</v>
      </c>
      <c r="AR80" s="107">
        <f t="shared" si="37"/>
        <v>479708.7</v>
      </c>
      <c r="AS80" s="107">
        <f t="shared" si="37"/>
        <v>95947.45</v>
      </c>
      <c r="AT80" s="107">
        <f t="shared" si="37"/>
        <v>183584.75</v>
      </c>
      <c r="AU80" s="107">
        <f t="shared" si="37"/>
        <v>31391.200000000001</v>
      </c>
      <c r="AV80" s="107">
        <f t="shared" si="37"/>
        <v>71132.95</v>
      </c>
      <c r="AW80" s="107">
        <f t="shared" si="37"/>
        <v>109629.11</v>
      </c>
      <c r="AX80" s="107">
        <f t="shared" si="37"/>
        <v>47303.45</v>
      </c>
      <c r="AY80" s="107">
        <f t="shared" si="37"/>
        <v>109236.9</v>
      </c>
      <c r="AZ80" s="107">
        <f t="shared" si="37"/>
        <v>418843.15</v>
      </c>
      <c r="BA80" s="107">
        <f t="shared" si="37"/>
        <v>152980</v>
      </c>
      <c r="BB80" s="107">
        <f t="shared" si="37"/>
        <v>599694.42999999993</v>
      </c>
      <c r="BC80" s="107">
        <f t="shared" si="37"/>
        <v>504500.77</v>
      </c>
      <c r="BD80" s="107">
        <f t="shared" si="37"/>
        <v>59591.9</v>
      </c>
      <c r="BE80" s="107">
        <f>SUM(F80:BD80)</f>
        <v>9272046.6700000018</v>
      </c>
      <c r="BF80" s="107">
        <f>SUM(F80:X80)</f>
        <v>3805390.41</v>
      </c>
      <c r="BG80" s="107">
        <f>SUM(Y80:AJ80)</f>
        <v>1272922.3999999999</v>
      </c>
      <c r="BH80" s="107">
        <f>SUM(AK80:BD80)</f>
        <v>4193733.8600000003</v>
      </c>
    </row>
    <row r="81" spans="3:60" ht="15" x14ac:dyDescent="0.25">
      <c r="D81" s="17">
        <v>1420</v>
      </c>
      <c r="E81" s="17" t="s">
        <v>360</v>
      </c>
      <c r="F81" s="13">
        <v>0</v>
      </c>
      <c r="G81" s="13">
        <v>0</v>
      </c>
      <c r="H81" s="13">
        <v>0</v>
      </c>
      <c r="I81" s="13">
        <v>0</v>
      </c>
      <c r="J81" s="13">
        <v>0</v>
      </c>
      <c r="K81" s="13">
        <v>67561.399999999994</v>
      </c>
      <c r="L81" s="13">
        <v>0</v>
      </c>
      <c r="M81" s="13">
        <v>370260.2</v>
      </c>
      <c r="N81" s="13">
        <v>0</v>
      </c>
      <c r="O81" s="13">
        <v>0</v>
      </c>
      <c r="P81" s="13">
        <v>122675.25</v>
      </c>
      <c r="Q81" s="13">
        <v>0</v>
      </c>
      <c r="R81" s="13">
        <v>0</v>
      </c>
      <c r="S81" s="13">
        <v>0</v>
      </c>
      <c r="T81" s="13">
        <v>0</v>
      </c>
      <c r="U81" s="13">
        <v>22568.720000000001</v>
      </c>
      <c r="V81" s="13">
        <v>11440</v>
      </c>
      <c r="W81" s="13">
        <v>0</v>
      </c>
      <c r="X81" s="13">
        <v>37351.300000000003</v>
      </c>
      <c r="Y81" s="13">
        <v>18197.7</v>
      </c>
      <c r="Z81" s="13">
        <v>0</v>
      </c>
      <c r="AA81" s="13">
        <v>55000</v>
      </c>
      <c r="AB81" s="13">
        <v>0</v>
      </c>
      <c r="AC81" s="13">
        <v>19000</v>
      </c>
      <c r="AD81" s="13">
        <v>5773.3</v>
      </c>
      <c r="AE81" s="13">
        <v>27138.400000000001</v>
      </c>
      <c r="AF81" s="13">
        <v>29493.919999999998</v>
      </c>
      <c r="AG81" s="13">
        <v>0</v>
      </c>
      <c r="AH81" s="13">
        <v>44883.5</v>
      </c>
      <c r="AI81" s="13">
        <v>15281.25</v>
      </c>
      <c r="AJ81" s="13">
        <v>0</v>
      </c>
      <c r="AK81" s="13">
        <v>0</v>
      </c>
      <c r="AL81" s="13">
        <v>0</v>
      </c>
      <c r="AM81" s="13">
        <v>0</v>
      </c>
      <c r="AN81" s="13">
        <v>0</v>
      </c>
      <c r="AO81" s="13">
        <v>51780.800000000003</v>
      </c>
      <c r="AP81" s="13">
        <v>0</v>
      </c>
      <c r="AQ81" s="13">
        <v>0</v>
      </c>
      <c r="AR81" s="13">
        <v>0</v>
      </c>
      <c r="AS81" s="13">
        <v>0</v>
      </c>
      <c r="AT81" s="13">
        <v>0</v>
      </c>
      <c r="AU81" s="13">
        <v>0</v>
      </c>
      <c r="AV81" s="13">
        <v>0</v>
      </c>
      <c r="AW81" s="13">
        <v>0</v>
      </c>
      <c r="AX81" s="13">
        <v>0</v>
      </c>
      <c r="AY81" s="13">
        <v>0</v>
      </c>
      <c r="AZ81" s="13">
        <v>0</v>
      </c>
      <c r="BA81" s="13">
        <v>0</v>
      </c>
      <c r="BB81" s="13">
        <v>0</v>
      </c>
      <c r="BC81" s="13">
        <v>0</v>
      </c>
      <c r="BD81" s="13">
        <v>0</v>
      </c>
      <c r="BE81" s="95">
        <f>SUM(F81:BD81)</f>
        <v>898405.74000000011</v>
      </c>
      <c r="BF81" s="95">
        <f>SUM(F81:X81)</f>
        <v>631856.87</v>
      </c>
      <c r="BG81" s="95">
        <f>SUM(Y81:AJ81)</f>
        <v>214768.07</v>
      </c>
      <c r="BH81" s="95">
        <f>SUM(AK81:BD81)</f>
        <v>51780.800000000003</v>
      </c>
    </row>
    <row r="82" spans="3:6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95">
        <f>SUM(F82:BD82)</f>
        <v>0</v>
      </c>
      <c r="BF82" s="95">
        <f>SUM(F82:X82)</f>
        <v>0</v>
      </c>
      <c r="BG82" s="95">
        <f>SUM(Y82:AJ82)</f>
        <v>0</v>
      </c>
      <c r="BH82" s="95">
        <f>SUM(AK82:BD82)</f>
        <v>0</v>
      </c>
    </row>
    <row r="83" spans="3:60" ht="15" x14ac:dyDescent="0.25">
      <c r="D83" s="17">
        <v>1427</v>
      </c>
      <c r="E83" s="17" t="s">
        <v>570</v>
      </c>
      <c r="F83" s="13">
        <v>31103.85</v>
      </c>
      <c r="G83" s="13">
        <v>0</v>
      </c>
      <c r="H83" s="13">
        <v>0</v>
      </c>
      <c r="I83" s="13">
        <v>0</v>
      </c>
      <c r="J83" s="13">
        <v>0</v>
      </c>
      <c r="K83" s="13">
        <v>0</v>
      </c>
      <c r="L83" s="13">
        <v>47307.55</v>
      </c>
      <c r="M83" s="13">
        <v>23697.55</v>
      </c>
      <c r="N83" s="13">
        <v>58696.5</v>
      </c>
      <c r="O83" s="13">
        <v>0</v>
      </c>
      <c r="P83" s="13">
        <v>482868.3</v>
      </c>
      <c r="Q83" s="13">
        <v>0</v>
      </c>
      <c r="R83" s="13">
        <v>0</v>
      </c>
      <c r="S83" s="13">
        <v>0</v>
      </c>
      <c r="T83" s="13">
        <v>0</v>
      </c>
      <c r="U83" s="13">
        <v>0</v>
      </c>
      <c r="V83" s="13">
        <v>0</v>
      </c>
      <c r="W83" s="13">
        <v>21540</v>
      </c>
      <c r="X83" s="13">
        <v>121846.5</v>
      </c>
      <c r="Y83" s="13">
        <v>0</v>
      </c>
      <c r="Z83" s="13">
        <v>0</v>
      </c>
      <c r="AA83" s="13">
        <v>0</v>
      </c>
      <c r="AB83" s="13">
        <v>0</v>
      </c>
      <c r="AC83" s="13">
        <v>335994</v>
      </c>
      <c r="AD83" s="13">
        <v>0</v>
      </c>
      <c r="AE83" s="13">
        <v>11314.65</v>
      </c>
      <c r="AF83" s="13">
        <v>0</v>
      </c>
      <c r="AG83" s="13">
        <v>244691.3</v>
      </c>
      <c r="AH83" s="13">
        <v>0</v>
      </c>
      <c r="AI83" s="13">
        <v>0</v>
      </c>
      <c r="AJ83" s="13">
        <v>0</v>
      </c>
      <c r="AK83" s="13">
        <v>0</v>
      </c>
      <c r="AL83" s="13">
        <v>0</v>
      </c>
      <c r="AM83" s="13">
        <v>0</v>
      </c>
      <c r="AN83" s="13">
        <v>0</v>
      </c>
      <c r="AO83" s="13">
        <v>0</v>
      </c>
      <c r="AP83" s="13">
        <v>330090.34999999998</v>
      </c>
      <c r="AQ83" s="13">
        <v>0</v>
      </c>
      <c r="AR83" s="13">
        <v>172244.7</v>
      </c>
      <c r="AS83" s="13">
        <v>0</v>
      </c>
      <c r="AT83" s="13">
        <v>0</v>
      </c>
      <c r="AU83" s="13">
        <v>0</v>
      </c>
      <c r="AV83" s="13">
        <v>71132.95</v>
      </c>
      <c r="AW83" s="13">
        <v>94131.3</v>
      </c>
      <c r="AX83" s="13">
        <v>0</v>
      </c>
      <c r="AY83" s="13">
        <v>109236.9</v>
      </c>
      <c r="AZ83" s="13">
        <v>0</v>
      </c>
      <c r="BA83" s="13">
        <v>0</v>
      </c>
      <c r="BB83" s="13">
        <v>360690.44</v>
      </c>
      <c r="BC83" s="13">
        <v>137494.51999999999</v>
      </c>
      <c r="BD83" s="13">
        <v>59591.9</v>
      </c>
      <c r="BE83" s="95">
        <f>SUM(F83:BD83)</f>
        <v>2713673.26</v>
      </c>
      <c r="BF83" s="95">
        <f>SUM(F83:X83)</f>
        <v>787060.25</v>
      </c>
      <c r="BG83" s="95">
        <f>SUM(Y83:AJ83)</f>
        <v>591999.94999999995</v>
      </c>
      <c r="BH83" s="95">
        <f>SUM(AK83:BD83)</f>
        <v>1334613.06</v>
      </c>
    </row>
    <row r="84" spans="3:60" ht="15" x14ac:dyDescent="0.25">
      <c r="D84" s="17">
        <v>1429</v>
      </c>
      <c r="E84" s="17" t="s">
        <v>459</v>
      </c>
      <c r="F84" s="13">
        <v>0</v>
      </c>
      <c r="G84" s="13">
        <v>93170.45</v>
      </c>
      <c r="H84" s="13">
        <v>75675.649999999994</v>
      </c>
      <c r="I84" s="18">
        <v>75124.350000000006</v>
      </c>
      <c r="J84" s="13">
        <v>585541.47</v>
      </c>
      <c r="K84" s="13">
        <v>53898</v>
      </c>
      <c r="L84" s="13">
        <v>405725.98</v>
      </c>
      <c r="M84" s="13">
        <v>379237.6</v>
      </c>
      <c r="N84" s="13">
        <v>56368.15</v>
      </c>
      <c r="O84" s="13">
        <v>0</v>
      </c>
      <c r="P84" s="13">
        <v>75341.899999999994</v>
      </c>
      <c r="Q84" s="13">
        <v>0</v>
      </c>
      <c r="R84" s="13">
        <v>48447.85</v>
      </c>
      <c r="S84" s="13">
        <v>38885.040000000001</v>
      </c>
      <c r="T84" s="13">
        <v>20556.400000000001</v>
      </c>
      <c r="U84" s="13">
        <v>0</v>
      </c>
      <c r="V84" s="13">
        <v>70900</v>
      </c>
      <c r="W84" s="13">
        <v>162273.70000000001</v>
      </c>
      <c r="X84" s="13">
        <v>245326.75</v>
      </c>
      <c r="Y84" s="13">
        <v>0</v>
      </c>
      <c r="Z84" s="13">
        <v>113240.1</v>
      </c>
      <c r="AA84" s="13">
        <v>5900</v>
      </c>
      <c r="AB84" s="13">
        <v>16652.5</v>
      </c>
      <c r="AC84" s="13">
        <v>34287.43</v>
      </c>
      <c r="AD84" s="13"/>
      <c r="AE84" s="13">
        <v>57650</v>
      </c>
      <c r="AF84" s="13">
        <v>28295.8</v>
      </c>
      <c r="AG84" s="13">
        <v>0</v>
      </c>
      <c r="AH84" s="13">
        <v>138047.4</v>
      </c>
      <c r="AI84" s="13">
        <v>26342.65</v>
      </c>
      <c r="AJ84" s="13">
        <v>45738.5</v>
      </c>
      <c r="AK84" s="13">
        <v>408693.85</v>
      </c>
      <c r="AL84" s="13">
        <v>0</v>
      </c>
      <c r="AM84" s="13">
        <v>474899.45</v>
      </c>
      <c r="AN84" s="13">
        <v>47992.05</v>
      </c>
      <c r="AO84" s="13">
        <v>0</v>
      </c>
      <c r="AP84" s="13">
        <v>0</v>
      </c>
      <c r="AQ84" s="13">
        <v>16732.599999999999</v>
      </c>
      <c r="AR84" s="13">
        <v>307464</v>
      </c>
      <c r="AS84" s="13">
        <v>95947.45</v>
      </c>
      <c r="AT84" s="13">
        <v>183584.75</v>
      </c>
      <c r="AU84" s="13">
        <v>31391.200000000001</v>
      </c>
      <c r="AV84" s="13">
        <v>0</v>
      </c>
      <c r="AW84" s="13">
        <v>15497.81</v>
      </c>
      <c r="AX84" s="13">
        <v>47303.45</v>
      </c>
      <c r="AY84" s="13">
        <v>0</v>
      </c>
      <c r="AZ84" s="13">
        <v>418843.15</v>
      </c>
      <c r="BA84" s="13">
        <v>152980</v>
      </c>
      <c r="BB84" s="13">
        <v>239003.99</v>
      </c>
      <c r="BC84" s="13">
        <v>367006.25</v>
      </c>
      <c r="BD84" s="13">
        <v>0</v>
      </c>
      <c r="BE84" s="95">
        <f>SUM(F84:BD84)</f>
        <v>5659967.6700000009</v>
      </c>
      <c r="BF84" s="95">
        <f>SUM(F84:X84)</f>
        <v>2386473.29</v>
      </c>
      <c r="BG84" s="95">
        <f>SUM(Y84:AJ84)</f>
        <v>466154.38</v>
      </c>
      <c r="BH84" s="95">
        <f>SUM(AK84:BD84)</f>
        <v>2807340</v>
      </c>
    </row>
    <row r="85" spans="3:60"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95"/>
      <c r="BF85" s="95"/>
      <c r="BG85" s="95"/>
      <c r="BH85" s="95"/>
    </row>
    <row r="86" spans="3:60" ht="15" x14ac:dyDescent="0.25">
      <c r="C86" s="85">
        <v>144</v>
      </c>
      <c r="D86" s="85"/>
      <c r="E86" s="85" t="s">
        <v>246</v>
      </c>
      <c r="F86" s="107">
        <f>F87+F88+F89+F90+F91+F92+F93+F94+F95</f>
        <v>0</v>
      </c>
      <c r="G86" s="107">
        <f t="shared" ref="G86:BD86" si="38">G87+G88+G89+G90+G91+G92+G93+G94+G95</f>
        <v>0</v>
      </c>
      <c r="H86" s="107">
        <f t="shared" si="38"/>
        <v>0</v>
      </c>
      <c r="I86" s="107">
        <f t="shared" si="38"/>
        <v>0</v>
      </c>
      <c r="J86" s="107">
        <f t="shared" si="38"/>
        <v>0</v>
      </c>
      <c r="K86" s="107">
        <f t="shared" si="38"/>
        <v>0</v>
      </c>
      <c r="L86" s="107">
        <f t="shared" si="38"/>
        <v>0</v>
      </c>
      <c r="M86" s="107">
        <f t="shared" si="38"/>
        <v>974080</v>
      </c>
      <c r="N86" s="107">
        <f t="shared" si="38"/>
        <v>102000</v>
      </c>
      <c r="O86" s="107">
        <f t="shared" si="38"/>
        <v>0</v>
      </c>
      <c r="P86" s="107">
        <f t="shared" si="38"/>
        <v>177832</v>
      </c>
      <c r="Q86" s="107">
        <f t="shared" si="38"/>
        <v>0</v>
      </c>
      <c r="R86" s="107">
        <f t="shared" si="38"/>
        <v>0</v>
      </c>
      <c r="S86" s="107">
        <f t="shared" si="38"/>
        <v>0</v>
      </c>
      <c r="T86" s="107">
        <f t="shared" si="38"/>
        <v>0</v>
      </c>
      <c r="U86" s="107">
        <f t="shared" si="38"/>
        <v>1</v>
      </c>
      <c r="V86" s="107">
        <f t="shared" si="38"/>
        <v>0</v>
      </c>
      <c r="W86" s="107">
        <f t="shared" si="38"/>
        <v>0</v>
      </c>
      <c r="X86" s="107">
        <f t="shared" si="38"/>
        <v>0</v>
      </c>
      <c r="Y86" s="107">
        <f t="shared" si="38"/>
        <v>0</v>
      </c>
      <c r="Z86" s="107">
        <f t="shared" si="38"/>
        <v>0</v>
      </c>
      <c r="AA86" s="107">
        <f t="shared" si="38"/>
        <v>0</v>
      </c>
      <c r="AB86" s="107">
        <f t="shared" si="38"/>
        <v>0</v>
      </c>
      <c r="AC86" s="107">
        <f t="shared" si="38"/>
        <v>18000</v>
      </c>
      <c r="AD86" s="107">
        <f t="shared" si="38"/>
        <v>0</v>
      </c>
      <c r="AE86" s="107">
        <f t="shared" si="38"/>
        <v>0</v>
      </c>
      <c r="AF86" s="107">
        <f t="shared" si="38"/>
        <v>0</v>
      </c>
      <c r="AG86" s="107">
        <f t="shared" si="38"/>
        <v>0</v>
      </c>
      <c r="AH86" s="107">
        <f t="shared" si="38"/>
        <v>320316.59999999998</v>
      </c>
      <c r="AI86" s="107">
        <f t="shared" si="38"/>
        <v>0</v>
      </c>
      <c r="AJ86" s="107">
        <f t="shared" si="38"/>
        <v>0</v>
      </c>
      <c r="AK86" s="107">
        <f t="shared" si="38"/>
        <v>0</v>
      </c>
      <c r="AL86" s="107">
        <f t="shared" si="38"/>
        <v>0</v>
      </c>
      <c r="AM86" s="107">
        <f t="shared" si="38"/>
        <v>33600</v>
      </c>
      <c r="AN86" s="107">
        <f t="shared" si="38"/>
        <v>0</v>
      </c>
      <c r="AO86" s="107">
        <f t="shared" si="38"/>
        <v>12400</v>
      </c>
      <c r="AP86" s="107">
        <f t="shared" si="38"/>
        <v>41800</v>
      </c>
      <c r="AQ86" s="107">
        <f t="shared" si="38"/>
        <v>108000</v>
      </c>
      <c r="AR86" s="107">
        <f t="shared" si="38"/>
        <v>0</v>
      </c>
      <c r="AS86" s="107">
        <f t="shared" si="38"/>
        <v>121400</v>
      </c>
      <c r="AT86" s="107">
        <f t="shared" si="38"/>
        <v>162861.4</v>
      </c>
      <c r="AU86" s="107">
        <f t="shared" si="38"/>
        <v>0</v>
      </c>
      <c r="AV86" s="107">
        <f t="shared" si="38"/>
        <v>17600</v>
      </c>
      <c r="AW86" s="107">
        <f t="shared" si="38"/>
        <v>0</v>
      </c>
      <c r="AX86" s="107">
        <f t="shared" si="38"/>
        <v>0</v>
      </c>
      <c r="AY86" s="107">
        <f t="shared" si="38"/>
        <v>0</v>
      </c>
      <c r="AZ86" s="107">
        <f t="shared" si="38"/>
        <v>0</v>
      </c>
      <c r="BA86" s="107">
        <f t="shared" si="38"/>
        <v>4500</v>
      </c>
      <c r="BB86" s="107">
        <f t="shared" si="38"/>
        <v>26800</v>
      </c>
      <c r="BC86" s="107">
        <f t="shared" si="38"/>
        <v>352000</v>
      </c>
      <c r="BD86" s="107">
        <f t="shared" si="38"/>
        <v>22500</v>
      </c>
      <c r="BE86" s="107">
        <f t="shared" ref="BE86:BE95" si="39">SUM(F86:BD86)</f>
        <v>2495691</v>
      </c>
      <c r="BF86" s="107">
        <f t="shared" ref="BF86:BF95" si="40">SUM(F86:X86)</f>
        <v>1253913</v>
      </c>
      <c r="BG86" s="107">
        <f t="shared" ref="BG86:BG95" si="41">SUM(Y86:AJ86)</f>
        <v>338316.6</v>
      </c>
      <c r="BH86" s="107">
        <f t="shared" ref="BH86:BH95" si="42">SUM(AK86:BD86)</f>
        <v>903461.4</v>
      </c>
    </row>
    <row r="87" spans="3:6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95">
        <f t="shared" si="39"/>
        <v>0</v>
      </c>
      <c r="BF87" s="95">
        <f t="shared" si="40"/>
        <v>0</v>
      </c>
      <c r="BG87" s="95">
        <f t="shared" si="41"/>
        <v>0</v>
      </c>
      <c r="BH87" s="95">
        <f t="shared" si="42"/>
        <v>0</v>
      </c>
    </row>
    <row r="88" spans="3:6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95">
        <f t="shared" si="39"/>
        <v>0</v>
      </c>
      <c r="BF88" s="95">
        <f t="shared" si="40"/>
        <v>0</v>
      </c>
      <c r="BG88" s="95">
        <f t="shared" si="41"/>
        <v>0</v>
      </c>
      <c r="BH88" s="95">
        <f t="shared" si="42"/>
        <v>0</v>
      </c>
    </row>
    <row r="89" spans="3:60" ht="15" x14ac:dyDescent="0.25">
      <c r="D89" s="8">
        <v>1442</v>
      </c>
      <c r="E89" s="8" t="s">
        <v>363</v>
      </c>
      <c r="F89" s="13">
        <v>0</v>
      </c>
      <c r="G89" s="13">
        <v>0</v>
      </c>
      <c r="H89" s="13">
        <v>0</v>
      </c>
      <c r="I89" s="13">
        <v>0</v>
      </c>
      <c r="J89" s="13">
        <v>0</v>
      </c>
      <c r="K89" s="13">
        <v>0</v>
      </c>
      <c r="L89" s="13">
        <v>0</v>
      </c>
      <c r="M89" s="13">
        <v>974080</v>
      </c>
      <c r="N89" s="13">
        <v>30000</v>
      </c>
      <c r="O89" s="13">
        <v>0</v>
      </c>
      <c r="P89" s="13">
        <v>17820</v>
      </c>
      <c r="Q89" s="13">
        <v>0</v>
      </c>
      <c r="R89" s="13">
        <v>0</v>
      </c>
      <c r="S89" s="13">
        <v>0</v>
      </c>
      <c r="T89" s="13">
        <v>0</v>
      </c>
      <c r="U89" s="13">
        <v>1</v>
      </c>
      <c r="V89" s="13">
        <v>0</v>
      </c>
      <c r="W89" s="13">
        <v>0</v>
      </c>
      <c r="X89" s="13">
        <v>0</v>
      </c>
      <c r="Y89" s="13">
        <v>0</v>
      </c>
      <c r="Z89" s="13">
        <v>0</v>
      </c>
      <c r="AA89" s="13">
        <v>0</v>
      </c>
      <c r="AB89" s="13">
        <v>0</v>
      </c>
      <c r="AC89" s="13">
        <v>18000</v>
      </c>
      <c r="AD89" s="13">
        <v>0</v>
      </c>
      <c r="AE89" s="13">
        <v>0</v>
      </c>
      <c r="AF89" s="13">
        <v>0</v>
      </c>
      <c r="AG89" s="13">
        <v>0</v>
      </c>
      <c r="AH89" s="13">
        <v>0</v>
      </c>
      <c r="AI89" s="13">
        <v>0</v>
      </c>
      <c r="AJ89" s="13">
        <v>0</v>
      </c>
      <c r="AK89" s="13">
        <v>0</v>
      </c>
      <c r="AL89" s="13">
        <v>0</v>
      </c>
      <c r="AM89" s="13">
        <v>33600</v>
      </c>
      <c r="AN89" s="13">
        <v>0</v>
      </c>
      <c r="AO89" s="13">
        <v>12400</v>
      </c>
      <c r="AP89" s="13">
        <v>41800</v>
      </c>
      <c r="AQ89" s="13">
        <v>108000</v>
      </c>
      <c r="AR89" s="13">
        <v>0</v>
      </c>
      <c r="AS89" s="13">
        <v>121400</v>
      </c>
      <c r="AT89" s="13">
        <v>46300</v>
      </c>
      <c r="AU89" s="13">
        <v>0</v>
      </c>
      <c r="AV89" s="13">
        <v>17600</v>
      </c>
      <c r="AW89" s="13">
        <v>0</v>
      </c>
      <c r="AX89" s="13">
        <v>0</v>
      </c>
      <c r="AY89" s="13">
        <v>0</v>
      </c>
      <c r="AZ89" s="13">
        <v>0</v>
      </c>
      <c r="BA89" s="13">
        <v>4500</v>
      </c>
      <c r="BB89" s="13">
        <v>26800</v>
      </c>
      <c r="BC89" s="13">
        <v>352000</v>
      </c>
      <c r="BD89" s="13">
        <v>22500</v>
      </c>
      <c r="BE89" s="95">
        <f t="shared" si="39"/>
        <v>1826801</v>
      </c>
      <c r="BF89" s="95">
        <f t="shared" si="40"/>
        <v>1021901</v>
      </c>
      <c r="BG89" s="95">
        <f t="shared" si="41"/>
        <v>18000</v>
      </c>
      <c r="BH89" s="95">
        <f t="shared" si="42"/>
        <v>786900</v>
      </c>
    </row>
    <row r="90" spans="3:6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95">
        <f t="shared" si="39"/>
        <v>0</v>
      </c>
      <c r="BF90" s="95">
        <f t="shared" si="40"/>
        <v>0</v>
      </c>
      <c r="BG90" s="95">
        <f t="shared" si="41"/>
        <v>0</v>
      </c>
      <c r="BH90" s="95">
        <f t="shared" si="42"/>
        <v>0</v>
      </c>
    </row>
    <row r="91" spans="3:6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95">
        <f t="shared" si="39"/>
        <v>0</v>
      </c>
      <c r="BF91" s="95">
        <f t="shared" si="40"/>
        <v>0</v>
      </c>
      <c r="BG91" s="95">
        <f t="shared" si="41"/>
        <v>0</v>
      </c>
      <c r="BH91" s="95">
        <f t="shared" si="42"/>
        <v>0</v>
      </c>
    </row>
    <row r="92" spans="3:60" ht="15" x14ac:dyDescent="0.25">
      <c r="D92" s="8">
        <v>1445</v>
      </c>
      <c r="E92" s="8" t="s">
        <v>367</v>
      </c>
      <c r="F92" s="13">
        <v>0</v>
      </c>
      <c r="G92" s="13">
        <v>0</v>
      </c>
      <c r="H92" s="13">
        <v>0</v>
      </c>
      <c r="I92" s="13">
        <v>0</v>
      </c>
      <c r="J92" s="13">
        <v>0</v>
      </c>
      <c r="K92" s="13">
        <v>0</v>
      </c>
      <c r="L92" s="13">
        <v>0</v>
      </c>
      <c r="M92" s="13">
        <v>0</v>
      </c>
      <c r="N92" s="13">
        <v>72000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320316.59999999998</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95">
        <f t="shared" si="39"/>
        <v>392316.6</v>
      </c>
      <c r="BF92" s="95">
        <f t="shared" si="40"/>
        <v>72000</v>
      </c>
      <c r="BG92" s="95">
        <f t="shared" si="41"/>
        <v>320316.59999999998</v>
      </c>
      <c r="BH92" s="95">
        <f t="shared" si="42"/>
        <v>0</v>
      </c>
    </row>
    <row r="93" spans="3:60" ht="15" x14ac:dyDescent="0.25">
      <c r="D93" s="8">
        <v>1446</v>
      </c>
      <c r="E93" s="8" t="s">
        <v>368</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116561.4</v>
      </c>
      <c r="AU93" s="13">
        <v>0</v>
      </c>
      <c r="AV93" s="13">
        <v>0</v>
      </c>
      <c r="AW93" s="13">
        <v>0</v>
      </c>
      <c r="AX93" s="13">
        <v>0</v>
      </c>
      <c r="AY93" s="13">
        <v>0</v>
      </c>
      <c r="AZ93" s="13">
        <v>0</v>
      </c>
      <c r="BA93" s="13">
        <v>0</v>
      </c>
      <c r="BB93" s="13">
        <v>0</v>
      </c>
      <c r="BC93" s="13">
        <v>0</v>
      </c>
      <c r="BD93" s="13">
        <v>0</v>
      </c>
      <c r="BE93" s="95">
        <f t="shared" si="39"/>
        <v>276573.40000000002</v>
      </c>
      <c r="BF93" s="95">
        <f t="shared" si="40"/>
        <v>160012</v>
      </c>
      <c r="BG93" s="95">
        <f t="shared" si="41"/>
        <v>0</v>
      </c>
      <c r="BH93" s="95">
        <f t="shared" si="42"/>
        <v>116561.4</v>
      </c>
    </row>
    <row r="94" spans="3:6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95">
        <f t="shared" si="39"/>
        <v>0</v>
      </c>
      <c r="BF94" s="95">
        <f t="shared" si="40"/>
        <v>0</v>
      </c>
      <c r="BG94" s="95">
        <f t="shared" si="41"/>
        <v>0</v>
      </c>
      <c r="BH94" s="95">
        <f t="shared" si="42"/>
        <v>0</v>
      </c>
    </row>
    <row r="95" spans="3:6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95">
        <f t="shared" si="39"/>
        <v>0</v>
      </c>
      <c r="BF95" s="95">
        <f t="shared" si="40"/>
        <v>0</v>
      </c>
      <c r="BG95" s="95">
        <f t="shared" si="41"/>
        <v>0</v>
      </c>
      <c r="BH95" s="95">
        <f t="shared" si="42"/>
        <v>0</v>
      </c>
    </row>
    <row r="96" spans="3:60"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95"/>
      <c r="BF96" s="95"/>
      <c r="BG96" s="95"/>
      <c r="BH96" s="95"/>
    </row>
    <row r="97" spans="3:60" ht="15" x14ac:dyDescent="0.25">
      <c r="C97" s="85">
        <v>145</v>
      </c>
      <c r="D97" s="85"/>
      <c r="E97" s="85" t="s">
        <v>373</v>
      </c>
      <c r="F97" s="107">
        <f>F98+F99+F100+F101+F102+F103+F104+F105+F106</f>
        <v>0</v>
      </c>
      <c r="G97" s="107">
        <f t="shared" ref="G97:BD97" si="43">G98+G99+G100+G101+G102+G103+G104+G105+G106</f>
        <v>0</v>
      </c>
      <c r="H97" s="107">
        <f t="shared" si="43"/>
        <v>0</v>
      </c>
      <c r="I97" s="107">
        <f t="shared" si="43"/>
        <v>0</v>
      </c>
      <c r="J97" s="107">
        <f t="shared" si="43"/>
        <v>0</v>
      </c>
      <c r="K97" s="107">
        <f t="shared" si="43"/>
        <v>45604</v>
      </c>
      <c r="L97" s="107">
        <f t="shared" si="43"/>
        <v>0</v>
      </c>
      <c r="M97" s="107">
        <f t="shared" si="43"/>
        <v>2</v>
      </c>
      <c r="N97" s="107">
        <f t="shared" si="43"/>
        <v>78600</v>
      </c>
      <c r="O97" s="107">
        <f t="shared" si="43"/>
        <v>0</v>
      </c>
      <c r="P97" s="107">
        <f t="shared" si="43"/>
        <v>28060</v>
      </c>
      <c r="Q97" s="107">
        <f t="shared" si="43"/>
        <v>0</v>
      </c>
      <c r="R97" s="107">
        <f t="shared" si="43"/>
        <v>9676</v>
      </c>
      <c r="S97" s="107">
        <f t="shared" si="43"/>
        <v>0</v>
      </c>
      <c r="T97" s="107">
        <f t="shared" si="43"/>
        <v>0</v>
      </c>
      <c r="U97" s="107">
        <f t="shared" si="43"/>
        <v>0</v>
      </c>
      <c r="V97" s="107">
        <f t="shared" si="43"/>
        <v>49300</v>
      </c>
      <c r="W97" s="107">
        <f t="shared" si="43"/>
        <v>0</v>
      </c>
      <c r="X97" s="107">
        <f t="shared" si="43"/>
        <v>95000</v>
      </c>
      <c r="Y97" s="107">
        <f t="shared" si="43"/>
        <v>12</v>
      </c>
      <c r="Z97" s="107">
        <f t="shared" si="43"/>
        <v>450743.9</v>
      </c>
      <c r="AA97" s="107">
        <f t="shared" si="43"/>
        <v>0</v>
      </c>
      <c r="AB97" s="107">
        <f t="shared" si="43"/>
        <v>0</v>
      </c>
      <c r="AC97" s="107">
        <f t="shared" si="43"/>
        <v>148150</v>
      </c>
      <c r="AD97" s="107">
        <f t="shared" si="43"/>
        <v>0</v>
      </c>
      <c r="AE97" s="107">
        <f t="shared" si="43"/>
        <v>10</v>
      </c>
      <c r="AF97" s="107">
        <f t="shared" si="43"/>
        <v>10</v>
      </c>
      <c r="AG97" s="107">
        <f t="shared" si="43"/>
        <v>0</v>
      </c>
      <c r="AH97" s="107">
        <f t="shared" si="43"/>
        <v>188681.9</v>
      </c>
      <c r="AI97" s="107">
        <f t="shared" si="43"/>
        <v>5434</v>
      </c>
      <c r="AJ97" s="107">
        <f t="shared" si="43"/>
        <v>0</v>
      </c>
      <c r="AK97" s="107">
        <f t="shared" si="43"/>
        <v>0</v>
      </c>
      <c r="AL97" s="107">
        <f t="shared" si="43"/>
        <v>0</v>
      </c>
      <c r="AM97" s="107">
        <f t="shared" si="43"/>
        <v>3767</v>
      </c>
      <c r="AN97" s="107">
        <f t="shared" si="43"/>
        <v>2906</v>
      </c>
      <c r="AO97" s="107">
        <f t="shared" si="43"/>
        <v>3</v>
      </c>
      <c r="AP97" s="107">
        <f t="shared" si="43"/>
        <v>3422</v>
      </c>
      <c r="AQ97" s="107">
        <f t="shared" si="43"/>
        <v>4</v>
      </c>
      <c r="AR97" s="107">
        <f t="shared" si="43"/>
        <v>100005</v>
      </c>
      <c r="AS97" s="107">
        <f t="shared" si="43"/>
        <v>502</v>
      </c>
      <c r="AT97" s="107">
        <f t="shared" si="43"/>
        <v>24</v>
      </c>
      <c r="AU97" s="107">
        <f t="shared" si="43"/>
        <v>2553</v>
      </c>
      <c r="AV97" s="107">
        <f t="shared" si="43"/>
        <v>300000</v>
      </c>
      <c r="AW97" s="107">
        <f t="shared" si="43"/>
        <v>10000</v>
      </c>
      <c r="AX97" s="107">
        <f t="shared" si="43"/>
        <v>504</v>
      </c>
      <c r="AY97" s="107">
        <f t="shared" si="43"/>
        <v>0</v>
      </c>
      <c r="AZ97" s="107">
        <f t="shared" si="43"/>
        <v>171005</v>
      </c>
      <c r="BA97" s="107">
        <f t="shared" si="43"/>
        <v>0</v>
      </c>
      <c r="BB97" s="107">
        <f t="shared" si="43"/>
        <v>1161</v>
      </c>
      <c r="BC97" s="107">
        <f t="shared" si="43"/>
        <v>3405052.49</v>
      </c>
      <c r="BD97" s="107">
        <f t="shared" si="43"/>
        <v>0</v>
      </c>
      <c r="BE97" s="107">
        <f t="shared" ref="BE97:BE106" si="44">SUM(F97:BD97)</f>
        <v>5100192.29</v>
      </c>
      <c r="BF97" s="107">
        <f t="shared" ref="BF97:BF106" si="45">SUM(F97:X97)</f>
        <v>306242</v>
      </c>
      <c r="BG97" s="107">
        <f t="shared" ref="BG97:BG106" si="46">SUM(Y97:AJ97)</f>
        <v>793041.8</v>
      </c>
      <c r="BH97" s="107">
        <f t="shared" ref="BH97:BH106" si="47">SUM(AK97:BD97)</f>
        <v>4000908.49</v>
      </c>
    </row>
    <row r="98" spans="3:6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1</v>
      </c>
      <c r="AU98" s="13">
        <v>0</v>
      </c>
      <c r="AV98" s="13">
        <v>0</v>
      </c>
      <c r="AW98" s="13">
        <v>0</v>
      </c>
      <c r="AX98" s="13">
        <v>0</v>
      </c>
      <c r="AY98" s="13">
        <v>0</v>
      </c>
      <c r="AZ98" s="13">
        <v>0</v>
      </c>
      <c r="BA98" s="13">
        <v>0</v>
      </c>
      <c r="BB98" s="13">
        <v>0</v>
      </c>
      <c r="BC98" s="13">
        <v>0</v>
      </c>
      <c r="BD98" s="13">
        <v>0</v>
      </c>
      <c r="BE98" s="95">
        <f t="shared" si="44"/>
        <v>1</v>
      </c>
      <c r="BF98" s="95">
        <f t="shared" si="45"/>
        <v>0</v>
      </c>
      <c r="BG98" s="95">
        <f t="shared" si="46"/>
        <v>0</v>
      </c>
      <c r="BH98" s="95">
        <f t="shared" si="47"/>
        <v>1</v>
      </c>
    </row>
    <row r="99" spans="3:6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95">
        <f t="shared" si="44"/>
        <v>0</v>
      </c>
      <c r="BF99" s="95">
        <f t="shared" si="45"/>
        <v>0</v>
      </c>
      <c r="BG99" s="95">
        <f t="shared" si="46"/>
        <v>0</v>
      </c>
      <c r="BH99" s="95">
        <f t="shared" si="47"/>
        <v>0</v>
      </c>
    </row>
    <row r="100" spans="3:60" ht="15" x14ac:dyDescent="0.25">
      <c r="D100" s="8">
        <v>1452</v>
      </c>
      <c r="E100" s="8" t="s">
        <v>374</v>
      </c>
      <c r="F100" s="13">
        <v>0</v>
      </c>
      <c r="G100" s="13">
        <v>0</v>
      </c>
      <c r="H100" s="13">
        <v>0</v>
      </c>
      <c r="I100" s="13">
        <v>0</v>
      </c>
      <c r="J100" s="13">
        <v>0</v>
      </c>
      <c r="K100" s="13">
        <v>0</v>
      </c>
      <c r="L100" s="13">
        <v>0</v>
      </c>
      <c r="M100" s="13">
        <v>0</v>
      </c>
      <c r="N100" s="13">
        <v>75000</v>
      </c>
      <c r="O100" s="13">
        <v>0</v>
      </c>
      <c r="P100" s="13">
        <v>0</v>
      </c>
      <c r="Q100" s="13">
        <v>0</v>
      </c>
      <c r="R100" s="13">
        <v>9676</v>
      </c>
      <c r="S100" s="13">
        <v>0</v>
      </c>
      <c r="T100" s="13">
        <v>0</v>
      </c>
      <c r="U100" s="13">
        <v>0</v>
      </c>
      <c r="V100" s="13">
        <v>0</v>
      </c>
      <c r="W100" s="13">
        <v>0</v>
      </c>
      <c r="X100" s="13">
        <v>95000</v>
      </c>
      <c r="Y100" s="13">
        <v>0</v>
      </c>
      <c r="Z100" s="13">
        <v>450743.9</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3</v>
      </c>
      <c r="AP100" s="13">
        <v>0</v>
      </c>
      <c r="AQ100" s="13">
        <v>0</v>
      </c>
      <c r="AR100" s="13">
        <v>0</v>
      </c>
      <c r="AS100" s="13">
        <v>0</v>
      </c>
      <c r="AT100" s="13">
        <v>0</v>
      </c>
      <c r="AU100" s="13">
        <v>0</v>
      </c>
      <c r="AV100" s="13">
        <v>300000</v>
      </c>
      <c r="AW100" s="13">
        <v>0</v>
      </c>
      <c r="AX100" s="13">
        <v>0</v>
      </c>
      <c r="AY100" s="13">
        <v>0</v>
      </c>
      <c r="AZ100" s="13">
        <v>0</v>
      </c>
      <c r="BA100" s="13">
        <v>0</v>
      </c>
      <c r="BB100" s="13">
        <v>0</v>
      </c>
      <c r="BC100" s="13">
        <v>0</v>
      </c>
      <c r="BD100" s="13">
        <v>0</v>
      </c>
      <c r="BE100" s="95">
        <f t="shared" si="44"/>
        <v>930422.9</v>
      </c>
      <c r="BF100" s="95">
        <f t="shared" si="45"/>
        <v>179676</v>
      </c>
      <c r="BG100" s="95">
        <f t="shared" si="46"/>
        <v>450743.9</v>
      </c>
      <c r="BH100" s="95">
        <f t="shared" si="47"/>
        <v>300003</v>
      </c>
    </row>
    <row r="101" spans="3:6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95">
        <f t="shared" si="44"/>
        <v>0</v>
      </c>
      <c r="BF101" s="95">
        <f t="shared" si="45"/>
        <v>0</v>
      </c>
      <c r="BG101" s="95">
        <f t="shared" si="46"/>
        <v>0</v>
      </c>
      <c r="BH101" s="95">
        <f t="shared" si="47"/>
        <v>0</v>
      </c>
    </row>
    <row r="102" spans="3:60" ht="15" x14ac:dyDescent="0.25">
      <c r="D102" s="8">
        <v>1454</v>
      </c>
      <c r="E102" s="8" t="s">
        <v>376</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100005</v>
      </c>
      <c r="AS102" s="13">
        <v>0</v>
      </c>
      <c r="AT102" s="13">
        <v>0</v>
      </c>
      <c r="AU102" s="13">
        <v>0</v>
      </c>
      <c r="AV102" s="13">
        <v>0</v>
      </c>
      <c r="AW102" s="13">
        <v>0</v>
      </c>
      <c r="AX102" s="13">
        <v>0</v>
      </c>
      <c r="AY102" s="13">
        <v>0</v>
      </c>
      <c r="AZ102" s="13">
        <v>171000</v>
      </c>
      <c r="BA102" s="13">
        <v>0</v>
      </c>
      <c r="BB102" s="13">
        <v>0</v>
      </c>
      <c r="BC102" s="13">
        <v>300000</v>
      </c>
      <c r="BD102" s="13">
        <v>0</v>
      </c>
      <c r="BE102" s="95">
        <f t="shared" si="44"/>
        <v>584605</v>
      </c>
      <c r="BF102" s="95">
        <f t="shared" si="45"/>
        <v>13600</v>
      </c>
      <c r="BG102" s="95">
        <f t="shared" si="46"/>
        <v>0</v>
      </c>
      <c r="BH102" s="95">
        <f t="shared" si="47"/>
        <v>571005</v>
      </c>
    </row>
    <row r="103" spans="3:60" ht="15" x14ac:dyDescent="0.25">
      <c r="D103" s="8">
        <v>1455</v>
      </c>
      <c r="E103" s="8" t="s">
        <v>377</v>
      </c>
      <c r="F103" s="13">
        <v>0</v>
      </c>
      <c r="G103" s="13">
        <v>0</v>
      </c>
      <c r="H103" s="13">
        <v>0</v>
      </c>
      <c r="I103" s="13">
        <v>0</v>
      </c>
      <c r="J103" s="13">
        <v>0</v>
      </c>
      <c r="K103" s="13">
        <v>45604</v>
      </c>
      <c r="L103" s="13">
        <v>0</v>
      </c>
      <c r="M103" s="13">
        <v>2</v>
      </c>
      <c r="N103" s="13">
        <v>0</v>
      </c>
      <c r="O103" s="13">
        <v>0</v>
      </c>
      <c r="P103" s="13">
        <v>18060</v>
      </c>
      <c r="Q103" s="13">
        <v>0</v>
      </c>
      <c r="R103" s="13">
        <v>0</v>
      </c>
      <c r="S103" s="13">
        <v>0</v>
      </c>
      <c r="T103" s="13">
        <v>0</v>
      </c>
      <c r="U103" s="13">
        <v>0</v>
      </c>
      <c r="V103" s="13">
        <v>49300</v>
      </c>
      <c r="W103" s="13">
        <v>0</v>
      </c>
      <c r="X103" s="13">
        <v>0</v>
      </c>
      <c r="Y103" s="13">
        <v>12</v>
      </c>
      <c r="Z103" s="13">
        <v>0</v>
      </c>
      <c r="AA103" s="13">
        <v>0</v>
      </c>
      <c r="AB103" s="13">
        <v>0</v>
      </c>
      <c r="AC103" s="13">
        <v>5050</v>
      </c>
      <c r="AD103" s="13">
        <v>0</v>
      </c>
      <c r="AE103" s="13">
        <v>10</v>
      </c>
      <c r="AF103" s="13">
        <v>10</v>
      </c>
      <c r="AG103" s="13">
        <v>0</v>
      </c>
      <c r="AH103" s="13">
        <v>188681.9</v>
      </c>
      <c r="AI103" s="13">
        <v>5434</v>
      </c>
      <c r="AJ103" s="13">
        <v>0</v>
      </c>
      <c r="AK103" s="13">
        <v>0</v>
      </c>
      <c r="AL103" s="13">
        <v>0</v>
      </c>
      <c r="AM103" s="13">
        <v>3767</v>
      </c>
      <c r="AN103" s="13">
        <v>2906</v>
      </c>
      <c r="AO103" s="13">
        <v>0</v>
      </c>
      <c r="AP103" s="13">
        <v>3422</v>
      </c>
      <c r="AQ103" s="13">
        <v>4</v>
      </c>
      <c r="AR103" s="13">
        <v>0</v>
      </c>
      <c r="AS103" s="13">
        <v>502</v>
      </c>
      <c r="AT103" s="13">
        <v>23</v>
      </c>
      <c r="AU103" s="13">
        <v>2553</v>
      </c>
      <c r="AV103" s="13">
        <v>0</v>
      </c>
      <c r="AW103" s="13">
        <v>10000</v>
      </c>
      <c r="AX103" s="13">
        <v>504</v>
      </c>
      <c r="AY103" s="13">
        <v>0</v>
      </c>
      <c r="AZ103" s="13">
        <v>5</v>
      </c>
      <c r="BA103" s="13">
        <v>0</v>
      </c>
      <c r="BB103" s="13">
        <v>1161</v>
      </c>
      <c r="BC103" s="13">
        <v>3105052.49</v>
      </c>
      <c r="BD103" s="13">
        <v>0</v>
      </c>
      <c r="BE103" s="95">
        <f t="shared" si="44"/>
        <v>3442063.39</v>
      </c>
      <c r="BF103" s="95">
        <f t="shared" si="45"/>
        <v>112966</v>
      </c>
      <c r="BG103" s="95">
        <f t="shared" si="46"/>
        <v>199197.9</v>
      </c>
      <c r="BH103" s="95">
        <f t="shared" si="47"/>
        <v>3129899.49</v>
      </c>
    </row>
    <row r="104" spans="3:6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143100</v>
      </c>
      <c r="AD104" s="13">
        <v>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95">
        <f t="shared" si="44"/>
        <v>143100</v>
      </c>
      <c r="BF104" s="95">
        <f t="shared" si="45"/>
        <v>0</v>
      </c>
      <c r="BG104" s="95">
        <f t="shared" si="46"/>
        <v>143100</v>
      </c>
      <c r="BH104" s="95">
        <f t="shared" si="47"/>
        <v>0</v>
      </c>
    </row>
    <row r="105" spans="3:6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95">
        <f t="shared" si="44"/>
        <v>0</v>
      </c>
      <c r="BF105" s="95">
        <f t="shared" si="45"/>
        <v>0</v>
      </c>
      <c r="BG105" s="95">
        <f t="shared" si="46"/>
        <v>0</v>
      </c>
      <c r="BH105" s="95">
        <f t="shared" si="47"/>
        <v>0</v>
      </c>
    </row>
    <row r="106" spans="3:6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95">
        <f t="shared" si="44"/>
        <v>0</v>
      </c>
      <c r="BF106" s="95">
        <f t="shared" si="45"/>
        <v>0</v>
      </c>
      <c r="BG106" s="95">
        <f t="shared" si="46"/>
        <v>0</v>
      </c>
      <c r="BH106" s="95">
        <f t="shared" si="47"/>
        <v>0</v>
      </c>
    </row>
    <row r="107" spans="3:60"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95"/>
      <c r="BF107" s="95"/>
      <c r="BG107" s="95"/>
      <c r="BH107" s="95"/>
    </row>
    <row r="108" spans="3:60" ht="15" x14ac:dyDescent="0.25">
      <c r="C108" s="85">
        <v>146</v>
      </c>
      <c r="D108" s="85"/>
      <c r="E108" s="85" t="s">
        <v>391</v>
      </c>
      <c r="F108" s="107">
        <f>F109+F110+F111+F112+F113+F114+F115+F116+F117+F118</f>
        <v>251034.23999999999</v>
      </c>
      <c r="G108" s="107">
        <f t="shared" ref="G108:BD108" si="48">G109+G110+G111+G112+G113+G114+G115+G116+G117+G118</f>
        <v>0</v>
      </c>
      <c r="H108" s="107">
        <f t="shared" si="48"/>
        <v>0</v>
      </c>
      <c r="I108" s="107">
        <f t="shared" si="48"/>
        <v>55311.85</v>
      </c>
      <c r="J108" s="107">
        <f t="shared" si="48"/>
        <v>577090.05000000005</v>
      </c>
      <c r="K108" s="107">
        <f t="shared" si="48"/>
        <v>686931.6</v>
      </c>
      <c r="L108" s="107">
        <f t="shared" si="48"/>
        <v>581326.94999999995</v>
      </c>
      <c r="M108" s="107">
        <f t="shared" si="48"/>
        <v>2454690</v>
      </c>
      <c r="N108" s="107">
        <f t="shared" si="48"/>
        <v>360217.3</v>
      </c>
      <c r="O108" s="107">
        <f t="shared" si="48"/>
        <v>0</v>
      </c>
      <c r="P108" s="107">
        <f t="shared" si="48"/>
        <v>2112462.29</v>
      </c>
      <c r="Q108" s="107">
        <f t="shared" si="48"/>
        <v>139241.70000000001</v>
      </c>
      <c r="R108" s="107">
        <f t="shared" si="48"/>
        <v>8395.35</v>
      </c>
      <c r="S108" s="107">
        <f t="shared" si="48"/>
        <v>0</v>
      </c>
      <c r="T108" s="107">
        <f t="shared" si="48"/>
        <v>0</v>
      </c>
      <c r="U108" s="107">
        <f t="shared" si="48"/>
        <v>0</v>
      </c>
      <c r="V108" s="107">
        <f t="shared" si="48"/>
        <v>11553.5</v>
      </c>
      <c r="W108" s="107">
        <f t="shared" si="48"/>
        <v>0</v>
      </c>
      <c r="X108" s="107">
        <f t="shared" si="48"/>
        <v>603937.89</v>
      </c>
      <c r="Y108" s="107">
        <f t="shared" si="48"/>
        <v>0</v>
      </c>
      <c r="Z108" s="107">
        <f t="shared" si="48"/>
        <v>14400</v>
      </c>
      <c r="AA108" s="107">
        <f t="shared" si="48"/>
        <v>120000</v>
      </c>
      <c r="AB108" s="107">
        <f t="shared" si="48"/>
        <v>0</v>
      </c>
      <c r="AC108" s="107">
        <f t="shared" si="48"/>
        <v>0</v>
      </c>
      <c r="AD108" s="107">
        <f t="shared" si="48"/>
        <v>0</v>
      </c>
      <c r="AE108" s="107">
        <f t="shared" si="48"/>
        <v>0</v>
      </c>
      <c r="AF108" s="107">
        <f t="shared" si="48"/>
        <v>0</v>
      </c>
      <c r="AG108" s="107">
        <f t="shared" si="48"/>
        <v>0</v>
      </c>
      <c r="AH108" s="107">
        <f t="shared" si="48"/>
        <v>0</v>
      </c>
      <c r="AI108" s="107">
        <f t="shared" si="48"/>
        <v>232397.27</v>
      </c>
      <c r="AJ108" s="107">
        <f t="shared" si="48"/>
        <v>0</v>
      </c>
      <c r="AK108" s="107">
        <f t="shared" si="48"/>
        <v>0</v>
      </c>
      <c r="AL108" s="107">
        <f t="shared" si="48"/>
        <v>0</v>
      </c>
      <c r="AM108" s="107">
        <f t="shared" si="48"/>
        <v>0</v>
      </c>
      <c r="AN108" s="107">
        <f t="shared" si="48"/>
        <v>0</v>
      </c>
      <c r="AO108" s="107">
        <f t="shared" si="48"/>
        <v>0</v>
      </c>
      <c r="AP108" s="107">
        <f t="shared" si="48"/>
        <v>32221</v>
      </c>
      <c r="AQ108" s="107">
        <f t="shared" si="48"/>
        <v>23945</v>
      </c>
      <c r="AR108" s="107">
        <f t="shared" si="48"/>
        <v>0</v>
      </c>
      <c r="AS108" s="107">
        <f t="shared" si="48"/>
        <v>17321</v>
      </c>
      <c r="AT108" s="107">
        <f t="shared" si="48"/>
        <v>1</v>
      </c>
      <c r="AU108" s="107">
        <f t="shared" si="48"/>
        <v>14782</v>
      </c>
      <c r="AV108" s="107">
        <f t="shared" si="48"/>
        <v>0</v>
      </c>
      <c r="AW108" s="107">
        <f t="shared" si="48"/>
        <v>26802</v>
      </c>
      <c r="AX108" s="107">
        <f t="shared" si="48"/>
        <v>19432</v>
      </c>
      <c r="AY108" s="107">
        <f t="shared" si="48"/>
        <v>13197</v>
      </c>
      <c r="AZ108" s="107">
        <f t="shared" si="48"/>
        <v>68614</v>
      </c>
      <c r="BA108" s="107">
        <f t="shared" si="48"/>
        <v>13700</v>
      </c>
      <c r="BB108" s="107">
        <f t="shared" si="48"/>
        <v>46536.6</v>
      </c>
      <c r="BC108" s="107">
        <f t="shared" si="48"/>
        <v>952800</v>
      </c>
      <c r="BD108" s="107">
        <f t="shared" si="48"/>
        <v>25680</v>
      </c>
      <c r="BE108" s="107">
        <f t="shared" ref="BE108:BE118" si="49">SUM(F108:BD108)</f>
        <v>9464021.589999998</v>
      </c>
      <c r="BF108" s="107">
        <f t="shared" ref="BF108:BF118" si="50">SUM(F108:X108)</f>
        <v>7842192.7199999988</v>
      </c>
      <c r="BG108" s="107">
        <f t="shared" ref="BG108:BG118" si="51">SUM(Y108:AJ108)</f>
        <v>366797.27</v>
      </c>
      <c r="BH108" s="107">
        <f t="shared" ref="BH108:BH118" si="52">SUM(AK108:BD108)</f>
        <v>1255031.6000000001</v>
      </c>
    </row>
    <row r="109" spans="3:6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95">
        <f t="shared" si="49"/>
        <v>0</v>
      </c>
      <c r="BF109" s="95">
        <f t="shared" si="50"/>
        <v>0</v>
      </c>
      <c r="BG109" s="95">
        <f t="shared" si="51"/>
        <v>0</v>
      </c>
      <c r="BH109" s="95">
        <f t="shared" si="52"/>
        <v>0</v>
      </c>
    </row>
    <row r="110" spans="3:60" ht="15" x14ac:dyDescent="0.25">
      <c r="D110" s="8">
        <v>1461</v>
      </c>
      <c r="E110" s="8" t="s">
        <v>389</v>
      </c>
      <c r="F110" s="13">
        <v>0</v>
      </c>
      <c r="G110" s="13">
        <v>0</v>
      </c>
      <c r="H110" s="13">
        <v>0</v>
      </c>
      <c r="I110" s="13">
        <v>0</v>
      </c>
      <c r="J110" s="13">
        <v>0</v>
      </c>
      <c r="K110" s="13">
        <v>0</v>
      </c>
      <c r="L110" s="13">
        <v>0</v>
      </c>
      <c r="M110" s="13">
        <v>0</v>
      </c>
      <c r="N110" s="13">
        <v>0</v>
      </c>
      <c r="O110" s="13">
        <v>0</v>
      </c>
      <c r="P110" s="13">
        <v>76992.800000000003</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95">
        <f t="shared" si="49"/>
        <v>76992.800000000003</v>
      </c>
      <c r="BF110" s="95">
        <f t="shared" si="50"/>
        <v>76992.800000000003</v>
      </c>
      <c r="BG110" s="95">
        <f t="shared" si="51"/>
        <v>0</v>
      </c>
      <c r="BH110" s="95">
        <f t="shared" si="52"/>
        <v>0</v>
      </c>
    </row>
    <row r="111" spans="3:60" ht="15" x14ac:dyDescent="0.25">
      <c r="D111" s="8">
        <v>1462</v>
      </c>
      <c r="E111" s="8" t="s">
        <v>381</v>
      </c>
      <c r="F111" s="13">
        <v>251034.23999999999</v>
      </c>
      <c r="G111" s="13">
        <v>0</v>
      </c>
      <c r="H111" s="13">
        <v>0</v>
      </c>
      <c r="I111" s="13">
        <v>55311.85</v>
      </c>
      <c r="J111" s="13">
        <v>577090.05000000005</v>
      </c>
      <c r="K111" s="13">
        <v>686931.6</v>
      </c>
      <c r="L111" s="13">
        <v>507782.55</v>
      </c>
      <c r="M111" s="13">
        <v>2454690</v>
      </c>
      <c r="N111" s="13">
        <v>360217.3</v>
      </c>
      <c r="O111" s="13">
        <v>0</v>
      </c>
      <c r="P111" s="13">
        <v>1909703.39</v>
      </c>
      <c r="Q111" s="13">
        <v>139241.70000000001</v>
      </c>
      <c r="R111" s="13">
        <v>8395.35</v>
      </c>
      <c r="S111" s="13">
        <v>0</v>
      </c>
      <c r="T111" s="13">
        <v>0</v>
      </c>
      <c r="U111" s="13">
        <v>0</v>
      </c>
      <c r="V111" s="13">
        <v>11553.5</v>
      </c>
      <c r="W111" s="13">
        <v>0</v>
      </c>
      <c r="X111" s="13">
        <v>603937.89</v>
      </c>
      <c r="Y111" s="13">
        <v>0</v>
      </c>
      <c r="Z111" s="13">
        <v>0</v>
      </c>
      <c r="AA111" s="13">
        <v>120000</v>
      </c>
      <c r="AB111" s="13">
        <v>0</v>
      </c>
      <c r="AC111" s="13">
        <v>0</v>
      </c>
      <c r="AD111" s="13">
        <v>0</v>
      </c>
      <c r="AE111" s="13">
        <v>0</v>
      </c>
      <c r="AF111" s="13">
        <v>0</v>
      </c>
      <c r="AG111" s="13">
        <v>0</v>
      </c>
      <c r="AH111" s="13">
        <v>0</v>
      </c>
      <c r="AI111" s="13">
        <v>232397.27</v>
      </c>
      <c r="AJ111" s="13">
        <v>0</v>
      </c>
      <c r="AK111" s="13">
        <v>0</v>
      </c>
      <c r="AL111" s="13">
        <v>0</v>
      </c>
      <c r="AM111" s="13">
        <v>0</v>
      </c>
      <c r="AN111" s="13">
        <v>0</v>
      </c>
      <c r="AO111" s="13">
        <v>0</v>
      </c>
      <c r="AP111" s="13">
        <v>32221</v>
      </c>
      <c r="AQ111" s="13">
        <v>23945</v>
      </c>
      <c r="AR111" s="13">
        <v>0</v>
      </c>
      <c r="AS111" s="13">
        <v>17321</v>
      </c>
      <c r="AT111" s="13">
        <v>1</v>
      </c>
      <c r="AU111" s="13">
        <v>14782</v>
      </c>
      <c r="AV111" s="13">
        <v>0</v>
      </c>
      <c r="AW111" s="13">
        <v>26802</v>
      </c>
      <c r="AX111" s="13">
        <v>19432</v>
      </c>
      <c r="AY111" s="13">
        <v>13197</v>
      </c>
      <c r="AZ111" s="13">
        <v>68614</v>
      </c>
      <c r="BA111" s="13">
        <v>13700</v>
      </c>
      <c r="BB111" s="13">
        <v>46536.6</v>
      </c>
      <c r="BC111" s="13">
        <v>910800</v>
      </c>
      <c r="BD111" s="13">
        <v>25680</v>
      </c>
      <c r="BE111" s="95">
        <f t="shared" si="49"/>
        <v>9131318.2899999991</v>
      </c>
      <c r="BF111" s="95">
        <f t="shared" si="50"/>
        <v>7565889.419999999</v>
      </c>
      <c r="BG111" s="95">
        <f t="shared" si="51"/>
        <v>352397.27</v>
      </c>
      <c r="BH111" s="95">
        <f t="shared" si="52"/>
        <v>1213031.6000000001</v>
      </c>
    </row>
    <row r="112" spans="3:6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95">
        <f t="shared" si="49"/>
        <v>0</v>
      </c>
      <c r="BF112" s="95">
        <f t="shared" si="50"/>
        <v>0</v>
      </c>
      <c r="BG112" s="95">
        <f t="shared" si="51"/>
        <v>0</v>
      </c>
      <c r="BH112" s="95">
        <f t="shared" si="52"/>
        <v>0</v>
      </c>
    </row>
    <row r="113" spans="1:6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95">
        <f t="shared" si="49"/>
        <v>0</v>
      </c>
      <c r="BF113" s="95">
        <f t="shared" si="50"/>
        <v>0</v>
      </c>
      <c r="BG113" s="95">
        <f t="shared" si="51"/>
        <v>0</v>
      </c>
      <c r="BH113" s="95">
        <f t="shared" si="52"/>
        <v>0</v>
      </c>
    </row>
    <row r="114" spans="1:60" ht="15" x14ac:dyDescent="0.25">
      <c r="D114" s="8">
        <v>1465</v>
      </c>
      <c r="E114" s="8" t="s">
        <v>384</v>
      </c>
      <c r="F114" s="13">
        <v>0</v>
      </c>
      <c r="G114" s="13">
        <v>0</v>
      </c>
      <c r="H114" s="13">
        <v>0</v>
      </c>
      <c r="I114" s="13">
        <v>0</v>
      </c>
      <c r="J114" s="13">
        <v>0</v>
      </c>
      <c r="K114" s="13">
        <v>0</v>
      </c>
      <c r="L114" s="13">
        <v>0</v>
      </c>
      <c r="M114" s="13">
        <v>0</v>
      </c>
      <c r="N114" s="13">
        <v>0</v>
      </c>
      <c r="O114" s="13">
        <v>0</v>
      </c>
      <c r="P114" s="13">
        <v>125766.1</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95">
        <f t="shared" si="49"/>
        <v>125766.1</v>
      </c>
      <c r="BF114" s="95">
        <f t="shared" si="50"/>
        <v>125766.1</v>
      </c>
      <c r="BG114" s="95">
        <f t="shared" si="51"/>
        <v>0</v>
      </c>
      <c r="BH114" s="95">
        <f t="shared" si="52"/>
        <v>0</v>
      </c>
    </row>
    <row r="115" spans="1:6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14400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42000</v>
      </c>
      <c r="BD115" s="13">
        <v>0</v>
      </c>
      <c r="BE115" s="95">
        <f t="shared" si="49"/>
        <v>56400</v>
      </c>
      <c r="BF115" s="95">
        <f t="shared" si="50"/>
        <v>0</v>
      </c>
      <c r="BG115" s="95">
        <f t="shared" si="51"/>
        <v>14400</v>
      </c>
      <c r="BH115" s="95">
        <f t="shared" si="52"/>
        <v>42000</v>
      </c>
    </row>
    <row r="116" spans="1:6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95">
        <f t="shared" si="49"/>
        <v>0</v>
      </c>
      <c r="BF116" s="95">
        <f t="shared" si="50"/>
        <v>0</v>
      </c>
      <c r="BG116" s="95">
        <f t="shared" si="51"/>
        <v>0</v>
      </c>
      <c r="BH116" s="95">
        <f t="shared" si="52"/>
        <v>0</v>
      </c>
    </row>
    <row r="117" spans="1:6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95">
        <f t="shared" si="49"/>
        <v>0</v>
      </c>
      <c r="BF117" s="95">
        <f t="shared" si="50"/>
        <v>0</v>
      </c>
      <c r="BG117" s="95">
        <f t="shared" si="51"/>
        <v>0</v>
      </c>
      <c r="BH117" s="95">
        <f t="shared" si="52"/>
        <v>0</v>
      </c>
    </row>
    <row r="118" spans="1:60" ht="15" x14ac:dyDescent="0.25">
      <c r="D118" s="8">
        <v>1469</v>
      </c>
      <c r="E118" s="8" t="s">
        <v>387</v>
      </c>
      <c r="F118" s="13">
        <v>0</v>
      </c>
      <c r="G118" s="13">
        <v>0</v>
      </c>
      <c r="H118" s="13">
        <v>0</v>
      </c>
      <c r="I118" s="13">
        <v>0</v>
      </c>
      <c r="J118" s="13">
        <v>0</v>
      </c>
      <c r="K118" s="13">
        <v>0</v>
      </c>
      <c r="L118" s="13">
        <v>73544.399999999994</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c r="AV118" s="13">
        <v>0</v>
      </c>
      <c r="AW118" s="13">
        <v>0</v>
      </c>
      <c r="AX118" s="13">
        <v>0</v>
      </c>
      <c r="AY118" s="13">
        <v>0</v>
      </c>
      <c r="AZ118" s="13">
        <v>0</v>
      </c>
      <c r="BA118" s="13">
        <v>0</v>
      </c>
      <c r="BB118" s="13">
        <v>0</v>
      </c>
      <c r="BC118" s="13">
        <v>0</v>
      </c>
      <c r="BD118" s="13">
        <v>0</v>
      </c>
      <c r="BE118" s="95">
        <f t="shared" si="49"/>
        <v>73544.399999999994</v>
      </c>
      <c r="BF118" s="95">
        <f t="shared" si="50"/>
        <v>73544.399999999994</v>
      </c>
      <c r="BG118" s="95">
        <f t="shared" si="51"/>
        <v>0</v>
      </c>
      <c r="BH118" s="95">
        <f t="shared" si="52"/>
        <v>0</v>
      </c>
    </row>
    <row r="119" spans="1:60"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95"/>
      <c r="BF119" s="95"/>
      <c r="BG119" s="95"/>
      <c r="BH119" s="95"/>
    </row>
    <row r="120" spans="1:60"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95"/>
      <c r="BF120" s="95"/>
      <c r="BG120" s="95"/>
      <c r="BH120" s="95"/>
    </row>
    <row r="121" spans="1:60" ht="20.25" x14ac:dyDescent="0.3">
      <c r="A121" s="21">
        <v>2</v>
      </c>
      <c r="B121" s="21"/>
      <c r="C121" s="21"/>
      <c r="D121" s="21"/>
      <c r="E121" s="21" t="s">
        <v>247</v>
      </c>
      <c r="F121" s="120">
        <f>F123+F133+F143+F153+F165+F173+F184+F191+F194+F198+F201+F204+F207+F210+F213+F216</f>
        <v>16768646.529999999</v>
      </c>
      <c r="G121" s="120">
        <f t="shared" ref="G121:BD121" si="53">G123+G133+G143+G153+G165+G173+G184+G191+G194+G198+G201+G204+G207+G210+G213+G216</f>
        <v>2855462.8800000004</v>
      </c>
      <c r="H121" s="120">
        <f t="shared" si="53"/>
        <v>6160716.8700000001</v>
      </c>
      <c r="I121" s="120">
        <f t="shared" si="53"/>
        <v>7170176.1399999997</v>
      </c>
      <c r="J121" s="120">
        <f t="shared" si="53"/>
        <v>43392907.270000003</v>
      </c>
      <c r="K121" s="120">
        <f t="shared" si="53"/>
        <v>32167105.919999998</v>
      </c>
      <c r="L121" s="120">
        <f t="shared" si="53"/>
        <v>23413700.530000001</v>
      </c>
      <c r="M121" s="120">
        <f t="shared" si="53"/>
        <v>204503091.97000003</v>
      </c>
      <c r="N121" s="120">
        <f t="shared" si="53"/>
        <v>11722835.960000001</v>
      </c>
      <c r="O121" s="120">
        <f t="shared" si="53"/>
        <v>1597061.25</v>
      </c>
      <c r="P121" s="120">
        <f t="shared" si="53"/>
        <v>60173948.360000007</v>
      </c>
      <c r="Q121" s="120">
        <f t="shared" si="53"/>
        <v>4322819.79</v>
      </c>
      <c r="R121" s="120">
        <f t="shared" si="53"/>
        <v>749394.4800000001</v>
      </c>
      <c r="S121" s="120">
        <f t="shared" si="53"/>
        <v>4567303.6399999997</v>
      </c>
      <c r="T121" s="120">
        <f t="shared" si="53"/>
        <v>5047950.87</v>
      </c>
      <c r="U121" s="120">
        <f t="shared" si="53"/>
        <v>8859585.0899999999</v>
      </c>
      <c r="V121" s="120">
        <f t="shared" si="53"/>
        <v>2149441.98</v>
      </c>
      <c r="W121" s="120">
        <f t="shared" si="53"/>
        <v>4391978.1500000004</v>
      </c>
      <c r="X121" s="120">
        <f t="shared" si="53"/>
        <v>24061589.409999996</v>
      </c>
      <c r="Y121" s="120">
        <f t="shared" si="53"/>
        <v>4087856.1</v>
      </c>
      <c r="Z121" s="120">
        <f t="shared" si="53"/>
        <v>14207784.689999999</v>
      </c>
      <c r="AA121" s="120">
        <f t="shared" si="53"/>
        <v>42159688.439999998</v>
      </c>
      <c r="AB121" s="120">
        <f t="shared" si="53"/>
        <v>3183321.05</v>
      </c>
      <c r="AC121" s="120">
        <f t="shared" si="53"/>
        <v>6015382.9499999993</v>
      </c>
      <c r="AD121" s="120">
        <f t="shared" si="53"/>
        <v>9380322.120000001</v>
      </c>
      <c r="AE121" s="120">
        <f t="shared" si="53"/>
        <v>6657827.7599999998</v>
      </c>
      <c r="AF121" s="120">
        <f t="shared" si="53"/>
        <v>8332214.4399999995</v>
      </c>
      <c r="AG121" s="120">
        <f t="shared" si="53"/>
        <v>17824654.890000001</v>
      </c>
      <c r="AH121" s="120">
        <f t="shared" si="53"/>
        <v>28634521.500000004</v>
      </c>
      <c r="AI121" s="120">
        <f t="shared" si="53"/>
        <v>3979285.1100000003</v>
      </c>
      <c r="AJ121" s="120">
        <f t="shared" si="53"/>
        <v>3228981</v>
      </c>
      <c r="AK121" s="120">
        <f t="shared" si="53"/>
        <v>23876769.640000001</v>
      </c>
      <c r="AL121" s="120">
        <f t="shared" si="53"/>
        <v>15264505.709999999</v>
      </c>
      <c r="AM121" s="120">
        <f t="shared" si="53"/>
        <v>16525242.710000001</v>
      </c>
      <c r="AN121" s="120">
        <f t="shared" si="53"/>
        <v>2763993.32</v>
      </c>
      <c r="AO121" s="120">
        <f t="shared" si="53"/>
        <v>33846962.030000001</v>
      </c>
      <c r="AP121" s="120">
        <f t="shared" si="53"/>
        <v>7475568.7200000007</v>
      </c>
      <c r="AQ121" s="120">
        <f t="shared" si="53"/>
        <v>7945016.6099999994</v>
      </c>
      <c r="AR121" s="120">
        <f t="shared" si="53"/>
        <v>21215737.400000002</v>
      </c>
      <c r="AS121" s="120">
        <f t="shared" si="53"/>
        <v>7758416.0800000001</v>
      </c>
      <c r="AT121" s="120">
        <f t="shared" si="53"/>
        <v>11333640.840000002</v>
      </c>
      <c r="AU121" s="120">
        <f t="shared" si="53"/>
        <v>5771443.04</v>
      </c>
      <c r="AV121" s="120">
        <f t="shared" si="53"/>
        <v>23175190.950000003</v>
      </c>
      <c r="AW121" s="120">
        <f t="shared" si="53"/>
        <v>9266461.709999999</v>
      </c>
      <c r="AX121" s="120">
        <f t="shared" si="53"/>
        <v>3418905.1900000004</v>
      </c>
      <c r="AY121" s="120">
        <f t="shared" si="53"/>
        <v>3505256.75</v>
      </c>
      <c r="AZ121" s="120">
        <f t="shared" si="53"/>
        <v>23101613.889999997</v>
      </c>
      <c r="BA121" s="120">
        <f t="shared" si="53"/>
        <v>6719233.1099999994</v>
      </c>
      <c r="BB121" s="120">
        <f t="shared" si="53"/>
        <v>15948279.16</v>
      </c>
      <c r="BC121" s="120">
        <f t="shared" si="53"/>
        <v>85194314.960000008</v>
      </c>
      <c r="BD121" s="120">
        <f t="shared" si="53"/>
        <v>6613759.6199999992</v>
      </c>
      <c r="BE121" s="22">
        <f t="shared" ref="BE121:BE131" si="54">SUM(F121:BD121)</f>
        <v>942487868.5800004</v>
      </c>
      <c r="BF121" s="120">
        <f t="shared" ref="BF121:BF131" si="55">SUM(F121:X121)</f>
        <v>464075717.09000003</v>
      </c>
      <c r="BG121" s="120">
        <f t="shared" ref="BG121:BG131" si="56">SUM(Y121:AJ121)</f>
        <v>147691840.05000001</v>
      </c>
      <c r="BH121" s="120">
        <f t="shared" ref="BH121:BH131" si="57">SUM(AK121:BD121)</f>
        <v>330720311.44</v>
      </c>
    </row>
    <row r="122" spans="1:60" ht="15" x14ac:dyDescent="0.25">
      <c r="A122" s="7"/>
      <c r="B122" s="121">
        <v>20</v>
      </c>
      <c r="C122" s="121"/>
      <c r="D122" s="121"/>
      <c r="E122" s="121" t="s">
        <v>248</v>
      </c>
      <c r="F122" s="122">
        <f>F123+F133+F143+F153+F165+F173+F184</f>
        <v>11516210.049999999</v>
      </c>
      <c r="G122" s="122">
        <f t="shared" ref="G122:BD122" si="58">G123+G133+G143+G153+G165+G173+G184</f>
        <v>2271344.35</v>
      </c>
      <c r="H122" s="122">
        <f t="shared" si="58"/>
        <v>5471289.0199999996</v>
      </c>
      <c r="I122" s="122">
        <f t="shared" si="58"/>
        <v>4547438.5599999996</v>
      </c>
      <c r="J122" s="122">
        <f t="shared" si="58"/>
        <v>30668957.079999998</v>
      </c>
      <c r="K122" s="122">
        <f t="shared" si="58"/>
        <v>24111670.329999998</v>
      </c>
      <c r="L122" s="122">
        <f t="shared" si="58"/>
        <v>10936168.67</v>
      </c>
      <c r="M122" s="122">
        <f t="shared" si="58"/>
        <v>176217457.5</v>
      </c>
      <c r="N122" s="122">
        <f t="shared" si="58"/>
        <v>7751885.4200000009</v>
      </c>
      <c r="O122" s="122">
        <f t="shared" si="58"/>
        <v>854277.12</v>
      </c>
      <c r="P122" s="122">
        <f t="shared" si="58"/>
        <v>48572566.589999996</v>
      </c>
      <c r="Q122" s="122">
        <f t="shared" si="58"/>
        <v>2913653.91</v>
      </c>
      <c r="R122" s="122">
        <f t="shared" si="58"/>
        <v>502459.14</v>
      </c>
      <c r="S122" s="122">
        <f t="shared" si="58"/>
        <v>3517640.6999999997</v>
      </c>
      <c r="T122" s="122">
        <f t="shared" si="58"/>
        <v>3894226.1799999997</v>
      </c>
      <c r="U122" s="122">
        <f t="shared" si="58"/>
        <v>5455294.2999999998</v>
      </c>
      <c r="V122" s="122">
        <f t="shared" si="58"/>
        <v>1398343.95</v>
      </c>
      <c r="W122" s="122">
        <f t="shared" si="58"/>
        <v>3610281.5100000002</v>
      </c>
      <c r="X122" s="122">
        <f t="shared" si="58"/>
        <v>16392280.369999999</v>
      </c>
      <c r="Y122" s="122">
        <f t="shared" si="58"/>
        <v>605740.86</v>
      </c>
      <c r="Z122" s="122">
        <f t="shared" si="58"/>
        <v>8236337.1399999997</v>
      </c>
      <c r="AA122" s="122">
        <f t="shared" si="58"/>
        <v>13326638.43</v>
      </c>
      <c r="AB122" s="122">
        <f t="shared" si="58"/>
        <v>1523438.0699999998</v>
      </c>
      <c r="AC122" s="122">
        <f t="shared" si="58"/>
        <v>4533397.76</v>
      </c>
      <c r="AD122" s="122">
        <f t="shared" si="58"/>
        <v>7363977.0800000001</v>
      </c>
      <c r="AE122" s="122">
        <f t="shared" si="58"/>
        <v>4045749.61</v>
      </c>
      <c r="AF122" s="122">
        <f t="shared" si="58"/>
        <v>733220.51</v>
      </c>
      <c r="AG122" s="122">
        <f t="shared" si="58"/>
        <v>5680567.5699999994</v>
      </c>
      <c r="AH122" s="122">
        <f t="shared" si="58"/>
        <v>16814677.220000003</v>
      </c>
      <c r="AI122" s="122">
        <f t="shared" si="58"/>
        <v>1728048.82</v>
      </c>
      <c r="AJ122" s="122">
        <f t="shared" si="58"/>
        <v>817432.31</v>
      </c>
      <c r="AK122" s="122">
        <f t="shared" si="58"/>
        <v>17797379.120000001</v>
      </c>
      <c r="AL122" s="122">
        <f t="shared" si="58"/>
        <v>8007765.1399999997</v>
      </c>
      <c r="AM122" s="122">
        <f t="shared" si="58"/>
        <v>12885634</v>
      </c>
      <c r="AN122" s="122">
        <f t="shared" si="58"/>
        <v>1440484.52</v>
      </c>
      <c r="AO122" s="122">
        <f t="shared" si="58"/>
        <v>9096491.3399999999</v>
      </c>
      <c r="AP122" s="122">
        <f t="shared" si="58"/>
        <v>5189921.37</v>
      </c>
      <c r="AQ122" s="122">
        <f t="shared" si="58"/>
        <v>5229923.3900000006</v>
      </c>
      <c r="AR122" s="122">
        <f t="shared" si="58"/>
        <v>10507725.350000001</v>
      </c>
      <c r="AS122" s="122">
        <f t="shared" si="58"/>
        <v>5683203.0499999998</v>
      </c>
      <c r="AT122" s="122">
        <f t="shared" si="58"/>
        <v>9443544.6800000016</v>
      </c>
      <c r="AU122" s="122">
        <f t="shared" si="58"/>
        <v>1672271.6099999999</v>
      </c>
      <c r="AV122" s="122">
        <f t="shared" si="58"/>
        <v>15611434.800000001</v>
      </c>
      <c r="AW122" s="122">
        <f t="shared" si="58"/>
        <v>5996657.0699999994</v>
      </c>
      <c r="AX122" s="122">
        <f t="shared" si="58"/>
        <v>921546.70000000007</v>
      </c>
      <c r="AY122" s="122">
        <f t="shared" si="58"/>
        <v>2048619.17</v>
      </c>
      <c r="AZ122" s="122">
        <f t="shared" si="58"/>
        <v>19491255.919999998</v>
      </c>
      <c r="BA122" s="122">
        <f t="shared" si="58"/>
        <v>3257793.8099999996</v>
      </c>
      <c r="BB122" s="122">
        <f t="shared" si="58"/>
        <v>10712340.949999999</v>
      </c>
      <c r="BC122" s="122">
        <f t="shared" si="58"/>
        <v>73459291.810000002</v>
      </c>
      <c r="BD122" s="122">
        <f t="shared" si="58"/>
        <v>4807157.72</v>
      </c>
      <c r="BE122" s="122">
        <f t="shared" si="54"/>
        <v>649273111.64999986</v>
      </c>
      <c r="BF122" s="122">
        <f t="shared" si="55"/>
        <v>360603444.75</v>
      </c>
      <c r="BG122" s="122">
        <f t="shared" si="56"/>
        <v>65409225.380000003</v>
      </c>
      <c r="BH122" s="122">
        <f t="shared" si="57"/>
        <v>223260441.51999998</v>
      </c>
    </row>
    <row r="123" spans="1:60" ht="15" x14ac:dyDescent="0.25">
      <c r="C123" s="123">
        <v>200</v>
      </c>
      <c r="D123" s="123"/>
      <c r="E123" s="123" t="s">
        <v>249</v>
      </c>
      <c r="F123" s="124">
        <f>F124+F125+F126+F127+F128+F129+F130+F131</f>
        <v>388186.60000000003</v>
      </c>
      <c r="G123" s="124">
        <f t="shared" ref="G123:BD123" si="59">G124+G125+G126+G127+G128+G129+G130+G131</f>
        <v>108982.65</v>
      </c>
      <c r="H123" s="124">
        <f t="shared" si="59"/>
        <v>64397.15</v>
      </c>
      <c r="I123" s="124">
        <f t="shared" si="59"/>
        <v>285138.56</v>
      </c>
      <c r="J123" s="124">
        <f t="shared" si="59"/>
        <v>1842482.12</v>
      </c>
      <c r="K123" s="124">
        <f t="shared" si="59"/>
        <v>2272901.04</v>
      </c>
      <c r="L123" s="124">
        <f t="shared" si="59"/>
        <v>231765.06</v>
      </c>
      <c r="M123" s="124">
        <f t="shared" si="59"/>
        <v>11396893.23</v>
      </c>
      <c r="N123" s="124">
        <f t="shared" si="59"/>
        <v>669934.87</v>
      </c>
      <c r="O123" s="124">
        <f t="shared" si="59"/>
        <v>0</v>
      </c>
      <c r="P123" s="124">
        <f t="shared" si="59"/>
        <v>2047572.42</v>
      </c>
      <c r="Q123" s="124">
        <f t="shared" si="59"/>
        <v>41629.83</v>
      </c>
      <c r="R123" s="124">
        <f t="shared" si="59"/>
        <v>20260</v>
      </c>
      <c r="S123" s="124">
        <f t="shared" si="59"/>
        <v>607761.11</v>
      </c>
      <c r="T123" s="124">
        <f t="shared" si="59"/>
        <v>121241.75</v>
      </c>
      <c r="U123" s="124">
        <f t="shared" si="59"/>
        <v>225136.55</v>
      </c>
      <c r="V123" s="124">
        <f t="shared" si="59"/>
        <v>389542.71</v>
      </c>
      <c r="W123" s="124">
        <f t="shared" si="59"/>
        <v>71080.800000000003</v>
      </c>
      <c r="X123" s="124">
        <f t="shared" si="59"/>
        <v>1422273</v>
      </c>
      <c r="Y123" s="124">
        <f t="shared" si="59"/>
        <v>0</v>
      </c>
      <c r="Z123" s="124">
        <f t="shared" si="59"/>
        <v>423662.73000000004</v>
      </c>
      <c r="AA123" s="124">
        <f t="shared" si="59"/>
        <v>3004934.01</v>
      </c>
      <c r="AB123" s="124">
        <f t="shared" si="59"/>
        <v>58746.05</v>
      </c>
      <c r="AC123" s="124">
        <f t="shared" si="59"/>
        <v>267728.61</v>
      </c>
      <c r="AD123" s="124">
        <f t="shared" si="59"/>
        <v>139644.75</v>
      </c>
      <c r="AE123" s="124">
        <f t="shared" si="59"/>
        <v>219249.65000000002</v>
      </c>
      <c r="AF123" s="124">
        <f t="shared" si="59"/>
        <v>131021.76999999999</v>
      </c>
      <c r="AG123" s="124">
        <f t="shared" si="59"/>
        <v>1249725.98</v>
      </c>
      <c r="AH123" s="124">
        <f t="shared" si="59"/>
        <v>569937.07000000007</v>
      </c>
      <c r="AI123" s="124">
        <f t="shared" si="59"/>
        <v>586634.94999999995</v>
      </c>
      <c r="AJ123" s="124">
        <f t="shared" si="59"/>
        <v>63246.01</v>
      </c>
      <c r="AK123" s="124">
        <f t="shared" si="59"/>
        <v>535592.78</v>
      </c>
      <c r="AL123" s="124">
        <f t="shared" si="59"/>
        <v>120775.84</v>
      </c>
      <c r="AM123" s="124">
        <f t="shared" si="59"/>
        <v>500314.88</v>
      </c>
      <c r="AN123" s="124">
        <f t="shared" si="59"/>
        <v>37943.22</v>
      </c>
      <c r="AO123" s="124">
        <f t="shared" si="59"/>
        <v>692746.51</v>
      </c>
      <c r="AP123" s="124">
        <f t="shared" si="59"/>
        <v>283729.33999999997</v>
      </c>
      <c r="AQ123" s="124">
        <f t="shared" si="59"/>
        <v>237126.82</v>
      </c>
      <c r="AR123" s="124">
        <f t="shared" si="59"/>
        <v>526552.65</v>
      </c>
      <c r="AS123" s="124">
        <f t="shared" si="59"/>
        <v>678578.01</v>
      </c>
      <c r="AT123" s="124">
        <f t="shared" si="59"/>
        <v>240442.31</v>
      </c>
      <c r="AU123" s="124">
        <f t="shared" si="59"/>
        <v>41249.660000000003</v>
      </c>
      <c r="AV123" s="124">
        <f t="shared" si="59"/>
        <v>429144.89999999997</v>
      </c>
      <c r="AW123" s="124">
        <f t="shared" si="59"/>
        <v>162447.82</v>
      </c>
      <c r="AX123" s="124">
        <f t="shared" si="59"/>
        <v>116119.43</v>
      </c>
      <c r="AY123" s="124">
        <f t="shared" si="59"/>
        <v>202576.04</v>
      </c>
      <c r="AZ123" s="124">
        <f t="shared" si="59"/>
        <v>946254.85</v>
      </c>
      <c r="BA123" s="124">
        <f t="shared" si="59"/>
        <v>73512.92</v>
      </c>
      <c r="BB123" s="124">
        <f t="shared" si="59"/>
        <v>356834.51999999996</v>
      </c>
      <c r="BC123" s="124">
        <f t="shared" si="59"/>
        <v>2372740.48</v>
      </c>
      <c r="BD123" s="124">
        <f t="shared" si="59"/>
        <v>356190.26</v>
      </c>
      <c r="BE123" s="124">
        <f t="shared" si="54"/>
        <v>37832584.270000003</v>
      </c>
      <c r="BF123" s="124">
        <f t="shared" si="55"/>
        <v>22207179.450000003</v>
      </c>
      <c r="BG123" s="124">
        <f t="shared" si="56"/>
        <v>6714531.5799999991</v>
      </c>
      <c r="BH123" s="124">
        <f t="shared" si="57"/>
        <v>8910873.2399999984</v>
      </c>
    </row>
    <row r="124" spans="1:60" ht="15" x14ac:dyDescent="0.25">
      <c r="D124" s="8">
        <v>2000</v>
      </c>
      <c r="E124" s="8" t="s">
        <v>392</v>
      </c>
      <c r="F124" s="13">
        <v>393072.8</v>
      </c>
      <c r="G124" s="13">
        <v>107059</v>
      </c>
      <c r="H124" s="13">
        <v>64397.15</v>
      </c>
      <c r="I124" s="13">
        <v>172240.47</v>
      </c>
      <c r="J124" s="13">
        <v>1842482.12</v>
      </c>
      <c r="K124" s="13">
        <v>2182314.13</v>
      </c>
      <c r="L124" s="13">
        <v>223786.11</v>
      </c>
      <c r="M124" s="13">
        <v>10929295.890000001</v>
      </c>
      <c r="N124" s="13">
        <v>673297.57</v>
      </c>
      <c r="O124" s="13">
        <v>0</v>
      </c>
      <c r="P124" s="13">
        <v>1900460.73</v>
      </c>
      <c r="Q124" s="13">
        <v>-4.8499999999999996</v>
      </c>
      <c r="R124" s="13">
        <v>20260</v>
      </c>
      <c r="S124" s="13">
        <v>607761.11</v>
      </c>
      <c r="T124" s="13">
        <v>121241.75</v>
      </c>
      <c r="U124" s="13">
        <v>225136.55</v>
      </c>
      <c r="V124" s="13">
        <v>168853.7</v>
      </c>
      <c r="W124" s="13">
        <v>70352.7</v>
      </c>
      <c r="X124" s="13">
        <v>562799.80000000005</v>
      </c>
      <c r="Y124" s="13">
        <v>0</v>
      </c>
      <c r="Z124" s="13">
        <v>412726.09</v>
      </c>
      <c r="AA124" s="13">
        <v>1099912.4099999999</v>
      </c>
      <c r="AB124" s="13">
        <v>39065.25</v>
      </c>
      <c r="AC124" s="13">
        <v>204123.42</v>
      </c>
      <c r="AD124" s="13">
        <v>129342.3</v>
      </c>
      <c r="AE124" s="13">
        <v>216790.2</v>
      </c>
      <c r="AF124" s="13">
        <v>133974.76999999999</v>
      </c>
      <c r="AG124" s="13">
        <v>1212577.23</v>
      </c>
      <c r="AH124" s="13">
        <v>506424.33</v>
      </c>
      <c r="AI124" s="13">
        <v>0</v>
      </c>
      <c r="AJ124" s="13">
        <v>19595.400000000001</v>
      </c>
      <c r="AK124" s="13">
        <v>484976.73</v>
      </c>
      <c r="AL124" s="13">
        <v>120775.84</v>
      </c>
      <c r="AM124" s="13">
        <v>495060.88</v>
      </c>
      <c r="AN124" s="13">
        <v>37943.22</v>
      </c>
      <c r="AO124" s="13">
        <v>690946.51</v>
      </c>
      <c r="AP124" s="13">
        <v>20722.55</v>
      </c>
      <c r="AQ124" s="13">
        <v>237126.82</v>
      </c>
      <c r="AR124" s="13">
        <v>526552.65</v>
      </c>
      <c r="AS124" s="13">
        <v>678565.17</v>
      </c>
      <c r="AT124" s="13">
        <v>164220.4</v>
      </c>
      <c r="AU124" s="13">
        <v>41249.660000000003</v>
      </c>
      <c r="AV124" s="13">
        <v>435831.3</v>
      </c>
      <c r="AW124" s="13">
        <v>162447.82</v>
      </c>
      <c r="AX124" s="13">
        <v>115369.43</v>
      </c>
      <c r="AY124" s="13">
        <v>207810.16</v>
      </c>
      <c r="AZ124" s="13">
        <v>946254.85</v>
      </c>
      <c r="BA124" s="13">
        <v>73512.92</v>
      </c>
      <c r="BB124" s="13">
        <v>312065.62</v>
      </c>
      <c r="BC124" s="13">
        <v>2882964.93</v>
      </c>
      <c r="BD124" s="13">
        <v>316296.25</v>
      </c>
      <c r="BE124" s="95">
        <f t="shared" si="54"/>
        <v>33190031.840000004</v>
      </c>
      <c r="BF124" s="95">
        <f t="shared" si="55"/>
        <v>20264806.73</v>
      </c>
      <c r="BG124" s="95">
        <f t="shared" si="56"/>
        <v>3974531.4</v>
      </c>
      <c r="BH124" s="95">
        <f t="shared" si="57"/>
        <v>8950693.709999999</v>
      </c>
    </row>
    <row r="125" spans="1:60" ht="15" x14ac:dyDescent="0.25">
      <c r="D125" s="8">
        <v>2001</v>
      </c>
      <c r="E125" s="8" t="s">
        <v>393</v>
      </c>
      <c r="F125" s="13">
        <v>-4879.72</v>
      </c>
      <c r="G125" s="13">
        <v>523.65</v>
      </c>
      <c r="H125" s="13">
        <v>0</v>
      </c>
      <c r="I125" s="13">
        <v>-1783</v>
      </c>
      <c r="J125" s="13">
        <v>0</v>
      </c>
      <c r="K125" s="13">
        <v>14060</v>
      </c>
      <c r="L125" s="13">
        <v>4978.95</v>
      </c>
      <c r="M125" s="13">
        <v>-10297.469999999999</v>
      </c>
      <c r="N125" s="13">
        <v>-4162.7</v>
      </c>
      <c r="O125" s="13">
        <v>0</v>
      </c>
      <c r="P125" s="13">
        <v>46071.65</v>
      </c>
      <c r="Q125" s="13">
        <v>0</v>
      </c>
      <c r="R125" s="13">
        <v>0</v>
      </c>
      <c r="S125" s="13">
        <v>0</v>
      </c>
      <c r="T125" s="13">
        <v>0</v>
      </c>
      <c r="U125" s="13">
        <v>0</v>
      </c>
      <c r="V125" s="13">
        <v>220689.01</v>
      </c>
      <c r="W125" s="13">
        <v>448.1</v>
      </c>
      <c r="X125" s="13">
        <v>44355.65</v>
      </c>
      <c r="Y125" s="13">
        <v>0</v>
      </c>
      <c r="Z125" s="13">
        <v>-2062.35</v>
      </c>
      <c r="AA125" s="13">
        <v>225876.61</v>
      </c>
      <c r="AB125" s="13">
        <v>19680.8</v>
      </c>
      <c r="AC125" s="13">
        <v>-8493.6</v>
      </c>
      <c r="AD125" s="13">
        <v>4750</v>
      </c>
      <c r="AE125" s="13">
        <v>2459.4499999999998</v>
      </c>
      <c r="AF125" s="13">
        <v>-2953</v>
      </c>
      <c r="AG125" s="13">
        <v>33828.75</v>
      </c>
      <c r="AH125" s="13">
        <v>0</v>
      </c>
      <c r="AI125" s="13">
        <v>586634.94999999995</v>
      </c>
      <c r="AJ125" s="13">
        <v>42350.61</v>
      </c>
      <c r="AK125" s="13">
        <v>0</v>
      </c>
      <c r="AL125" s="13">
        <v>0</v>
      </c>
      <c r="AM125" s="13">
        <v>-250</v>
      </c>
      <c r="AN125" s="13">
        <v>0</v>
      </c>
      <c r="AO125" s="13">
        <v>0</v>
      </c>
      <c r="AP125" s="13">
        <v>263006.78999999998</v>
      </c>
      <c r="AQ125" s="13">
        <v>0</v>
      </c>
      <c r="AR125" s="13">
        <v>0</v>
      </c>
      <c r="AS125" s="13">
        <v>0</v>
      </c>
      <c r="AT125" s="13">
        <v>0</v>
      </c>
      <c r="AU125" s="13">
        <v>0</v>
      </c>
      <c r="AV125" s="13">
        <v>-121</v>
      </c>
      <c r="AW125" s="13">
        <v>0</v>
      </c>
      <c r="AX125" s="13">
        <v>0</v>
      </c>
      <c r="AY125" s="13">
        <v>0</v>
      </c>
      <c r="AZ125" s="13">
        <v>0</v>
      </c>
      <c r="BA125" s="13">
        <v>0</v>
      </c>
      <c r="BB125" s="13">
        <v>226.6</v>
      </c>
      <c r="BC125" s="13">
        <v>5799.3</v>
      </c>
      <c r="BD125" s="13">
        <v>0</v>
      </c>
      <c r="BE125" s="95">
        <f t="shared" si="54"/>
        <v>1480738.0300000003</v>
      </c>
      <c r="BF125" s="95">
        <f t="shared" si="55"/>
        <v>310004.12</v>
      </c>
      <c r="BG125" s="95">
        <f t="shared" si="56"/>
        <v>902072.21999999986</v>
      </c>
      <c r="BH125" s="95">
        <f t="shared" si="57"/>
        <v>268661.68999999994</v>
      </c>
    </row>
    <row r="126" spans="1:60" ht="15" x14ac:dyDescent="0.25">
      <c r="D126" s="8">
        <v>2002</v>
      </c>
      <c r="E126" s="8" t="s">
        <v>394</v>
      </c>
      <c r="F126" s="13">
        <v>-6.48</v>
      </c>
      <c r="G126" s="13">
        <v>0</v>
      </c>
      <c r="H126" s="13">
        <v>0</v>
      </c>
      <c r="I126" s="13">
        <v>11367.34</v>
      </c>
      <c r="J126" s="13">
        <v>0</v>
      </c>
      <c r="K126" s="13">
        <v>64541.91</v>
      </c>
      <c r="L126" s="13">
        <v>0</v>
      </c>
      <c r="M126" s="13">
        <v>407927.64</v>
      </c>
      <c r="N126" s="13">
        <v>0</v>
      </c>
      <c r="O126" s="13">
        <v>0</v>
      </c>
      <c r="P126" s="13">
        <v>4452.34</v>
      </c>
      <c r="Q126" s="13">
        <v>0</v>
      </c>
      <c r="R126" s="13">
        <v>0</v>
      </c>
      <c r="S126" s="13">
        <v>0</v>
      </c>
      <c r="T126" s="13">
        <v>0</v>
      </c>
      <c r="U126" s="13">
        <v>0</v>
      </c>
      <c r="V126" s="13">
        <v>0</v>
      </c>
      <c r="W126" s="13">
        <v>0</v>
      </c>
      <c r="X126" s="13">
        <v>0</v>
      </c>
      <c r="Y126" s="13">
        <v>0</v>
      </c>
      <c r="Z126" s="13">
        <v>12998.99</v>
      </c>
      <c r="AA126" s="13">
        <v>1679144.99</v>
      </c>
      <c r="AB126" s="13">
        <v>0</v>
      </c>
      <c r="AC126" s="13">
        <v>1404.1</v>
      </c>
      <c r="AD126" s="13">
        <v>5552.45</v>
      </c>
      <c r="AE126" s="13">
        <v>0</v>
      </c>
      <c r="AF126" s="13">
        <v>0</v>
      </c>
      <c r="AG126" s="13">
        <v>0</v>
      </c>
      <c r="AH126" s="13">
        <v>63512.74</v>
      </c>
      <c r="AI126" s="13">
        <v>0</v>
      </c>
      <c r="AJ126" s="13">
        <v>0</v>
      </c>
      <c r="AK126" s="13">
        <v>45916.05</v>
      </c>
      <c r="AL126" s="13">
        <v>0</v>
      </c>
      <c r="AM126" s="13">
        <v>0</v>
      </c>
      <c r="AN126" s="13">
        <v>0</v>
      </c>
      <c r="AO126" s="13">
        <v>0</v>
      </c>
      <c r="AP126" s="13">
        <v>0</v>
      </c>
      <c r="AQ126" s="13">
        <v>0</v>
      </c>
      <c r="AR126" s="13">
        <v>0</v>
      </c>
      <c r="AS126" s="13">
        <v>12.84</v>
      </c>
      <c r="AT126" s="13">
        <v>9593.9</v>
      </c>
      <c r="AU126" s="13">
        <v>0</v>
      </c>
      <c r="AV126" s="13">
        <v>-10865.4</v>
      </c>
      <c r="AW126" s="13">
        <v>0</v>
      </c>
      <c r="AX126" s="13">
        <v>0</v>
      </c>
      <c r="AY126" s="13">
        <v>-5234.12</v>
      </c>
      <c r="AZ126" s="13">
        <v>0</v>
      </c>
      <c r="BA126" s="13">
        <v>0</v>
      </c>
      <c r="BB126" s="13">
        <v>17742.3</v>
      </c>
      <c r="BC126" s="13">
        <v>183.08</v>
      </c>
      <c r="BD126" s="13">
        <v>39894.01</v>
      </c>
      <c r="BE126" s="95">
        <f t="shared" si="54"/>
        <v>2348138.6799999997</v>
      </c>
      <c r="BF126" s="95">
        <f t="shared" si="55"/>
        <v>488282.75000000006</v>
      </c>
      <c r="BG126" s="95">
        <f t="shared" si="56"/>
        <v>1762613.27</v>
      </c>
      <c r="BH126" s="95">
        <f t="shared" si="57"/>
        <v>97242.66</v>
      </c>
    </row>
    <row r="127" spans="1:60" ht="15" x14ac:dyDescent="0.25">
      <c r="D127" s="8">
        <v>2003</v>
      </c>
      <c r="E127" s="8" t="s">
        <v>395</v>
      </c>
      <c r="F127" s="13">
        <v>0</v>
      </c>
      <c r="G127" s="13">
        <v>0</v>
      </c>
      <c r="H127" s="13">
        <v>0</v>
      </c>
      <c r="I127" s="13">
        <v>0</v>
      </c>
      <c r="J127" s="13">
        <v>0</v>
      </c>
      <c r="K127" s="13">
        <v>0</v>
      </c>
      <c r="L127" s="13">
        <v>0</v>
      </c>
      <c r="M127" s="13">
        <v>0</v>
      </c>
      <c r="N127" s="13">
        <v>0</v>
      </c>
      <c r="O127" s="13">
        <v>0</v>
      </c>
      <c r="P127" s="13">
        <v>85440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13">
        <v>0</v>
      </c>
      <c r="AH127" s="13">
        <v>0</v>
      </c>
      <c r="AI127" s="13">
        <v>0</v>
      </c>
      <c r="AJ127" s="13">
        <v>0</v>
      </c>
      <c r="AK127" s="13">
        <v>0</v>
      </c>
      <c r="AL127" s="13">
        <v>0</v>
      </c>
      <c r="AM127" s="13">
        <v>1500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95">
        <f t="shared" si="54"/>
        <v>86940</v>
      </c>
      <c r="BF127" s="95">
        <f t="shared" si="55"/>
        <v>85440</v>
      </c>
      <c r="BG127" s="95">
        <f t="shared" si="56"/>
        <v>0</v>
      </c>
      <c r="BH127" s="95">
        <f t="shared" si="57"/>
        <v>1500</v>
      </c>
    </row>
    <row r="128" spans="1:6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95">
        <f t="shared" si="54"/>
        <v>4107.1499999999996</v>
      </c>
      <c r="BF128" s="95">
        <f t="shared" si="55"/>
        <v>4107.1499999999996</v>
      </c>
      <c r="BG128" s="95">
        <f t="shared" si="56"/>
        <v>0</v>
      </c>
      <c r="BH128" s="95">
        <f t="shared" si="57"/>
        <v>0</v>
      </c>
    </row>
    <row r="129" spans="3:60" ht="15" x14ac:dyDescent="0.25">
      <c r="D129" s="8">
        <v>2005</v>
      </c>
      <c r="E129" s="8" t="s">
        <v>317</v>
      </c>
      <c r="F129" s="13">
        <v>0</v>
      </c>
      <c r="G129" s="13">
        <v>0</v>
      </c>
      <c r="H129" s="13">
        <v>0</v>
      </c>
      <c r="I129" s="13">
        <v>103313.75</v>
      </c>
      <c r="J129" s="13">
        <v>0</v>
      </c>
      <c r="K129" s="13">
        <v>0</v>
      </c>
      <c r="L129" s="13">
        <v>0</v>
      </c>
      <c r="M129" s="13">
        <v>41767.32</v>
      </c>
      <c r="N129" s="13">
        <v>0</v>
      </c>
      <c r="O129" s="13">
        <v>0</v>
      </c>
      <c r="P129" s="13">
        <v>0</v>
      </c>
      <c r="Q129" s="13">
        <v>41634.68</v>
      </c>
      <c r="R129" s="13">
        <v>0</v>
      </c>
      <c r="S129" s="13">
        <v>0</v>
      </c>
      <c r="T129" s="13">
        <v>0</v>
      </c>
      <c r="U129" s="13">
        <v>0</v>
      </c>
      <c r="V129" s="13">
        <v>0</v>
      </c>
      <c r="W129" s="13">
        <v>0</v>
      </c>
      <c r="X129" s="13">
        <v>809410.4</v>
      </c>
      <c r="Y129" s="13">
        <v>0</v>
      </c>
      <c r="Z129" s="13">
        <v>0</v>
      </c>
      <c r="AA129" s="13">
        <v>0</v>
      </c>
      <c r="AB129" s="13">
        <v>0</v>
      </c>
      <c r="AC129" s="13">
        <v>70334.69</v>
      </c>
      <c r="AD129" s="13">
        <v>0</v>
      </c>
      <c r="AE129" s="13">
        <v>0</v>
      </c>
      <c r="AF129" s="13">
        <v>0</v>
      </c>
      <c r="AG129" s="13">
        <v>0</v>
      </c>
      <c r="AH129" s="13">
        <v>0</v>
      </c>
      <c r="AI129" s="13">
        <v>0</v>
      </c>
      <c r="AJ129" s="13">
        <v>0</v>
      </c>
      <c r="AK129" s="13">
        <v>0</v>
      </c>
      <c r="AL129" s="13">
        <v>0</v>
      </c>
      <c r="AM129" s="13">
        <v>194</v>
      </c>
      <c r="AN129" s="13">
        <v>0</v>
      </c>
      <c r="AO129" s="13">
        <v>0</v>
      </c>
      <c r="AP129" s="13">
        <v>0</v>
      </c>
      <c r="AQ129" s="13">
        <v>0</v>
      </c>
      <c r="AR129" s="13">
        <v>0</v>
      </c>
      <c r="AS129" s="13">
        <v>0</v>
      </c>
      <c r="AT129" s="13">
        <v>66628.009999999995</v>
      </c>
      <c r="AU129" s="13">
        <v>0</v>
      </c>
      <c r="AV129" s="13">
        <v>0</v>
      </c>
      <c r="AW129" s="13">
        <v>0</v>
      </c>
      <c r="AX129" s="13">
        <v>0</v>
      </c>
      <c r="AY129" s="13">
        <v>0</v>
      </c>
      <c r="AZ129" s="13">
        <v>0</v>
      </c>
      <c r="BA129" s="13">
        <v>0</v>
      </c>
      <c r="BB129" s="13">
        <v>0</v>
      </c>
      <c r="BC129" s="13">
        <v>-519656.83</v>
      </c>
      <c r="BD129" s="13">
        <v>0</v>
      </c>
      <c r="BE129" s="95">
        <f t="shared" si="54"/>
        <v>613626.02</v>
      </c>
      <c r="BF129" s="95">
        <f t="shared" si="55"/>
        <v>996126.15</v>
      </c>
      <c r="BG129" s="95">
        <f t="shared" si="56"/>
        <v>70334.69</v>
      </c>
      <c r="BH129" s="95">
        <f t="shared" si="57"/>
        <v>-452834.82</v>
      </c>
    </row>
    <row r="130" spans="3:60" ht="15" x14ac:dyDescent="0.25">
      <c r="D130" s="8">
        <v>2006</v>
      </c>
      <c r="E130" s="8" t="s">
        <v>441</v>
      </c>
      <c r="F130" s="13">
        <v>0</v>
      </c>
      <c r="G130" s="13">
        <v>1400</v>
      </c>
      <c r="H130" s="13">
        <v>0</v>
      </c>
      <c r="I130" s="13">
        <v>0</v>
      </c>
      <c r="J130" s="13">
        <v>0</v>
      </c>
      <c r="K130" s="13">
        <v>11985</v>
      </c>
      <c r="L130" s="13">
        <v>3000</v>
      </c>
      <c r="M130" s="13">
        <v>28199.85</v>
      </c>
      <c r="N130" s="13">
        <v>800</v>
      </c>
      <c r="O130" s="13">
        <v>0</v>
      </c>
      <c r="P130" s="13">
        <v>11147.7</v>
      </c>
      <c r="Q130" s="13">
        <v>0</v>
      </c>
      <c r="R130" s="13">
        <v>0</v>
      </c>
      <c r="S130" s="13">
        <v>0</v>
      </c>
      <c r="T130" s="13">
        <v>0</v>
      </c>
      <c r="U130" s="13">
        <v>0</v>
      </c>
      <c r="V130" s="13">
        <v>0</v>
      </c>
      <c r="W130" s="13">
        <v>280</v>
      </c>
      <c r="X130" s="13">
        <v>1600</v>
      </c>
      <c r="Y130" s="13">
        <v>0</v>
      </c>
      <c r="Z130" s="13">
        <v>0</v>
      </c>
      <c r="AA130" s="13">
        <v>0</v>
      </c>
      <c r="AB130" s="13">
        <v>0</v>
      </c>
      <c r="AC130" s="13">
        <v>360</v>
      </c>
      <c r="AD130" s="13">
        <v>0</v>
      </c>
      <c r="AE130" s="13">
        <v>0</v>
      </c>
      <c r="AF130" s="13">
        <v>0</v>
      </c>
      <c r="AG130" s="13">
        <v>3320</v>
      </c>
      <c r="AH130" s="13">
        <v>0</v>
      </c>
      <c r="AI130" s="13">
        <v>0</v>
      </c>
      <c r="AJ130" s="13">
        <v>1300</v>
      </c>
      <c r="AK130" s="13">
        <v>4700</v>
      </c>
      <c r="AL130" s="13">
        <v>0</v>
      </c>
      <c r="AM130" s="13">
        <v>3810</v>
      </c>
      <c r="AN130" s="13">
        <v>0</v>
      </c>
      <c r="AO130" s="13">
        <v>1800</v>
      </c>
      <c r="AP130" s="13">
        <v>0</v>
      </c>
      <c r="AQ130" s="13">
        <v>0</v>
      </c>
      <c r="AR130" s="13">
        <v>0</v>
      </c>
      <c r="AS130" s="13">
        <v>0</v>
      </c>
      <c r="AT130" s="13">
        <v>0</v>
      </c>
      <c r="AU130" s="13">
        <v>0</v>
      </c>
      <c r="AV130" s="13">
        <v>4300</v>
      </c>
      <c r="AW130" s="13">
        <v>0</v>
      </c>
      <c r="AX130" s="13">
        <v>750</v>
      </c>
      <c r="AY130" s="13">
        <v>0</v>
      </c>
      <c r="AZ130" s="13">
        <v>0</v>
      </c>
      <c r="BA130" s="13">
        <v>0</v>
      </c>
      <c r="BB130" s="13">
        <v>0</v>
      </c>
      <c r="BC130" s="13">
        <v>3450</v>
      </c>
      <c r="BD130" s="13">
        <v>0</v>
      </c>
      <c r="BE130" s="95">
        <f t="shared" si="54"/>
        <v>82202.55</v>
      </c>
      <c r="BF130" s="95">
        <f t="shared" si="55"/>
        <v>58412.55</v>
      </c>
      <c r="BG130" s="95">
        <f t="shared" si="56"/>
        <v>4980</v>
      </c>
      <c r="BH130" s="95">
        <f t="shared" si="57"/>
        <v>18810</v>
      </c>
    </row>
    <row r="131" spans="3:6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v>0</v>
      </c>
      <c r="AL131" s="13">
        <v>0</v>
      </c>
      <c r="AM131" s="13">
        <v>0</v>
      </c>
      <c r="AN131" s="13">
        <v>0</v>
      </c>
      <c r="AO131" s="13">
        <v>0</v>
      </c>
      <c r="AP131" s="13">
        <v>0</v>
      </c>
      <c r="AQ131" s="13">
        <v>0</v>
      </c>
      <c r="AR131" s="13">
        <v>0</v>
      </c>
      <c r="AS131" s="13">
        <v>0</v>
      </c>
      <c r="AT131" s="13">
        <v>0</v>
      </c>
      <c r="AU131" s="13">
        <v>0</v>
      </c>
      <c r="AV131" s="13">
        <v>0</v>
      </c>
      <c r="AW131" s="13">
        <v>0</v>
      </c>
      <c r="AX131" s="13">
        <v>0</v>
      </c>
      <c r="AY131" s="13">
        <v>0</v>
      </c>
      <c r="AZ131" s="13">
        <v>0</v>
      </c>
      <c r="BA131" s="13">
        <v>0</v>
      </c>
      <c r="BB131" s="13">
        <v>26800</v>
      </c>
      <c r="BC131" s="13">
        <v>0</v>
      </c>
      <c r="BD131" s="13">
        <v>0</v>
      </c>
      <c r="BE131" s="95">
        <f t="shared" si="54"/>
        <v>26800</v>
      </c>
      <c r="BF131" s="95">
        <f t="shared" si="55"/>
        <v>0</v>
      </c>
      <c r="BG131" s="95">
        <f t="shared" si="56"/>
        <v>0</v>
      </c>
      <c r="BH131" s="95">
        <f t="shared" si="57"/>
        <v>26800</v>
      </c>
    </row>
    <row r="132" spans="3:60"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95"/>
      <c r="BF132" s="95"/>
      <c r="BG132" s="95"/>
      <c r="BH132" s="95"/>
    </row>
    <row r="133" spans="3:60" ht="15" x14ac:dyDescent="0.25">
      <c r="C133" s="123">
        <v>201</v>
      </c>
      <c r="D133" s="123"/>
      <c r="E133" s="123" t="s">
        <v>250</v>
      </c>
      <c r="F133" s="124">
        <f>F134+F135+F136+F137+F138+F139+F140+F141</f>
        <v>3247562.34</v>
      </c>
      <c r="G133" s="124">
        <f t="shared" ref="G133:BD133" si="60">G134+G135+G136+G137+G138+G139+G140+G141</f>
        <v>308700</v>
      </c>
      <c r="H133" s="124">
        <f t="shared" si="60"/>
        <v>128800</v>
      </c>
      <c r="I133" s="124">
        <f t="shared" si="60"/>
        <v>324783.78999999998</v>
      </c>
      <c r="J133" s="124">
        <f t="shared" si="60"/>
        <v>9159616.7400000002</v>
      </c>
      <c r="K133" s="124">
        <f t="shared" si="60"/>
        <v>9781550</v>
      </c>
      <c r="L133" s="124">
        <f t="shared" si="60"/>
        <v>125000</v>
      </c>
      <c r="M133" s="124">
        <f t="shared" si="60"/>
        <v>29206108</v>
      </c>
      <c r="N133" s="124">
        <f t="shared" si="60"/>
        <v>3179142.7</v>
      </c>
      <c r="O133" s="124">
        <f t="shared" si="60"/>
        <v>0</v>
      </c>
      <c r="P133" s="124">
        <f t="shared" si="60"/>
        <v>16659160</v>
      </c>
      <c r="Q133" s="124">
        <f t="shared" si="60"/>
        <v>264365.36</v>
      </c>
      <c r="R133" s="124">
        <f t="shared" si="60"/>
        <v>112164.19</v>
      </c>
      <c r="S133" s="124">
        <f t="shared" si="60"/>
        <v>367561.58999999997</v>
      </c>
      <c r="T133" s="124">
        <f t="shared" si="60"/>
        <v>2222074.23</v>
      </c>
      <c r="U133" s="124">
        <f t="shared" si="60"/>
        <v>352571.55</v>
      </c>
      <c r="V133" s="124">
        <f t="shared" si="60"/>
        <v>158331.28999999998</v>
      </c>
      <c r="W133" s="124">
        <f t="shared" si="60"/>
        <v>142193.9</v>
      </c>
      <c r="X133" s="124">
        <f t="shared" si="60"/>
        <v>2589284.9500000002</v>
      </c>
      <c r="Y133" s="124">
        <f t="shared" si="60"/>
        <v>67120</v>
      </c>
      <c r="Z133" s="124">
        <f t="shared" si="60"/>
        <v>791364.46</v>
      </c>
      <c r="AA133" s="124">
        <f t="shared" si="60"/>
        <v>0</v>
      </c>
      <c r="AB133" s="124">
        <f t="shared" si="60"/>
        <v>412500</v>
      </c>
      <c r="AC133" s="124">
        <f t="shared" si="60"/>
        <v>625199.16999999993</v>
      </c>
      <c r="AD133" s="124">
        <f t="shared" si="60"/>
        <v>1064787.7</v>
      </c>
      <c r="AE133" s="124">
        <f t="shared" si="60"/>
        <v>227038.08000000002</v>
      </c>
      <c r="AF133" s="124">
        <f t="shared" si="60"/>
        <v>131498.95000000001</v>
      </c>
      <c r="AG133" s="124">
        <f t="shared" si="60"/>
        <v>67194.09</v>
      </c>
      <c r="AH133" s="124">
        <f t="shared" si="60"/>
        <v>3108720</v>
      </c>
      <c r="AI133" s="124">
        <f t="shared" si="60"/>
        <v>112241.81</v>
      </c>
      <c r="AJ133" s="124">
        <f t="shared" si="60"/>
        <v>36020</v>
      </c>
      <c r="AK133" s="124">
        <f t="shared" si="60"/>
        <v>510000</v>
      </c>
      <c r="AL133" s="124">
        <f t="shared" si="60"/>
        <v>462372.1</v>
      </c>
      <c r="AM133" s="124">
        <f t="shared" si="60"/>
        <v>1284716.3500000001</v>
      </c>
      <c r="AN133" s="124">
        <f t="shared" si="60"/>
        <v>0</v>
      </c>
      <c r="AO133" s="124">
        <f t="shared" si="60"/>
        <v>0</v>
      </c>
      <c r="AP133" s="124">
        <f t="shared" si="60"/>
        <v>103650</v>
      </c>
      <c r="AQ133" s="124">
        <f t="shared" si="60"/>
        <v>701481.45</v>
      </c>
      <c r="AR133" s="124">
        <f t="shared" si="60"/>
        <v>181840</v>
      </c>
      <c r="AS133" s="124">
        <f t="shared" si="60"/>
        <v>270792.87</v>
      </c>
      <c r="AT133" s="124">
        <f t="shared" si="60"/>
        <v>301720</v>
      </c>
      <c r="AU133" s="124">
        <f t="shared" si="60"/>
        <v>19300</v>
      </c>
      <c r="AV133" s="124">
        <f t="shared" si="60"/>
        <v>83752.37</v>
      </c>
      <c r="AW133" s="124">
        <f t="shared" si="60"/>
        <v>147300</v>
      </c>
      <c r="AX133" s="124">
        <f t="shared" si="60"/>
        <v>0</v>
      </c>
      <c r="AY133" s="124">
        <f t="shared" si="60"/>
        <v>55272.89</v>
      </c>
      <c r="AZ133" s="124">
        <f t="shared" si="60"/>
        <v>1900488.77</v>
      </c>
      <c r="BA133" s="124">
        <f t="shared" si="60"/>
        <v>1323284.04</v>
      </c>
      <c r="BB133" s="124">
        <f t="shared" si="60"/>
        <v>2970150.44</v>
      </c>
      <c r="BC133" s="124">
        <f t="shared" si="60"/>
        <v>10463949.6</v>
      </c>
      <c r="BD133" s="124">
        <f t="shared" si="60"/>
        <v>432322.26</v>
      </c>
      <c r="BE133" s="124">
        <f t="shared" ref="BE133:BE141" si="61">SUM(F133:BD133)</f>
        <v>106185048.03000003</v>
      </c>
      <c r="BF133" s="124">
        <f t="shared" ref="BF133:BF141" si="62">SUM(F133:X133)</f>
        <v>78328970.630000025</v>
      </c>
      <c r="BG133" s="124">
        <f t="shared" ref="BG133:BG141" si="63">SUM(Y133:AJ133)</f>
        <v>6643684.2599999998</v>
      </c>
      <c r="BH133" s="124">
        <f t="shared" ref="BH133:BH141" si="64">SUM(AK133:BD133)</f>
        <v>21212393.140000004</v>
      </c>
    </row>
    <row r="134" spans="3:60" ht="15" x14ac:dyDescent="0.25">
      <c r="D134" s="8">
        <v>2010</v>
      </c>
      <c r="E134" s="8" t="s">
        <v>399</v>
      </c>
      <c r="F134" s="13">
        <v>3063522.34</v>
      </c>
      <c r="G134" s="13">
        <v>200000</v>
      </c>
      <c r="H134" s="13">
        <v>0</v>
      </c>
      <c r="I134" s="13">
        <v>140029.60999999999</v>
      </c>
      <c r="J134" s="13">
        <v>9159616.7400000002</v>
      </c>
      <c r="K134" s="13">
        <v>9700000</v>
      </c>
      <c r="L134" s="13">
        <v>125000</v>
      </c>
      <c r="M134" s="13">
        <v>0</v>
      </c>
      <c r="N134" s="13">
        <v>1222142.7</v>
      </c>
      <c r="O134" s="13">
        <v>0</v>
      </c>
      <c r="P134" s="13">
        <v>0</v>
      </c>
      <c r="Q134" s="13">
        <v>264402.56</v>
      </c>
      <c r="R134" s="13">
        <v>112164.19</v>
      </c>
      <c r="S134" s="13">
        <v>129411.59</v>
      </c>
      <c r="T134" s="13">
        <v>1793537.44</v>
      </c>
      <c r="U134" s="13">
        <v>0</v>
      </c>
      <c r="V134" s="13">
        <v>90131.29</v>
      </c>
      <c r="W134" s="13">
        <v>0</v>
      </c>
      <c r="X134" s="13">
        <v>1889284.95</v>
      </c>
      <c r="Y134" s="13">
        <v>0</v>
      </c>
      <c r="Z134" s="13">
        <v>0</v>
      </c>
      <c r="AA134" s="13">
        <v>0</v>
      </c>
      <c r="AB134" s="13">
        <v>0</v>
      </c>
      <c r="AC134" s="13">
        <v>516659.17</v>
      </c>
      <c r="AD134" s="13">
        <v>1064787.7</v>
      </c>
      <c r="AE134" s="13">
        <v>102538.08</v>
      </c>
      <c r="AF134" s="13">
        <v>699.85</v>
      </c>
      <c r="AG134" s="13">
        <v>67194.09</v>
      </c>
      <c r="AH134" s="13">
        <v>0</v>
      </c>
      <c r="AI134" s="13">
        <v>35414.81</v>
      </c>
      <c r="AJ134" s="13">
        <v>0</v>
      </c>
      <c r="AK134" s="13">
        <v>0</v>
      </c>
      <c r="AL134" s="13">
        <v>40822.1</v>
      </c>
      <c r="AM134" s="13">
        <v>1009746.35</v>
      </c>
      <c r="AN134" s="13">
        <v>0</v>
      </c>
      <c r="AO134" s="13">
        <v>0</v>
      </c>
      <c r="AP134" s="13">
        <v>0</v>
      </c>
      <c r="AQ134" s="13">
        <v>-3698.55</v>
      </c>
      <c r="AR134" s="13">
        <v>0</v>
      </c>
      <c r="AS134" s="13">
        <v>13562.87</v>
      </c>
      <c r="AT134" s="13">
        <v>0</v>
      </c>
      <c r="AU134" s="13">
        <v>0</v>
      </c>
      <c r="AV134" s="13">
        <v>83752.37</v>
      </c>
      <c r="AW134" s="13">
        <v>0</v>
      </c>
      <c r="AX134" s="13">
        <v>0</v>
      </c>
      <c r="AY134" s="13">
        <v>55272.89</v>
      </c>
      <c r="AZ134" s="13">
        <v>1239078.77</v>
      </c>
      <c r="BA134" s="13">
        <v>1323284.04</v>
      </c>
      <c r="BB134" s="13">
        <v>1794890.44</v>
      </c>
      <c r="BC134" s="13">
        <v>0</v>
      </c>
      <c r="BD134" s="13">
        <v>264237.26</v>
      </c>
      <c r="BE134" s="95">
        <f t="shared" si="61"/>
        <v>35497485.649999999</v>
      </c>
      <c r="BF134" s="95">
        <f t="shared" si="62"/>
        <v>27889243.409999996</v>
      </c>
      <c r="BG134" s="95">
        <f t="shared" si="63"/>
        <v>1787293.7000000002</v>
      </c>
      <c r="BH134" s="95">
        <f t="shared" si="64"/>
        <v>5820948.5399999991</v>
      </c>
    </row>
    <row r="135" spans="3:60" ht="15" x14ac:dyDescent="0.25">
      <c r="D135" s="8">
        <v>2011</v>
      </c>
      <c r="E135" s="8" t="s">
        <v>400</v>
      </c>
      <c r="F135" s="13">
        <v>0</v>
      </c>
      <c r="G135" s="13">
        <v>0</v>
      </c>
      <c r="H135" s="13">
        <v>0</v>
      </c>
      <c r="I135" s="13">
        <v>184754.18</v>
      </c>
      <c r="J135" s="13">
        <v>0</v>
      </c>
      <c r="K135" s="13">
        <v>0</v>
      </c>
      <c r="L135" s="13">
        <v>0</v>
      </c>
      <c r="M135" s="13">
        <v>0</v>
      </c>
      <c r="N135" s="13">
        <v>0</v>
      </c>
      <c r="O135" s="13">
        <v>0</v>
      </c>
      <c r="P135" s="13">
        <v>8500000</v>
      </c>
      <c r="Q135" s="13">
        <v>-37.200000000000003</v>
      </c>
      <c r="R135" s="13">
        <v>0</v>
      </c>
      <c r="S135" s="13">
        <v>0</v>
      </c>
      <c r="T135" s="13">
        <v>428536.79</v>
      </c>
      <c r="U135" s="13">
        <v>126221.55</v>
      </c>
      <c r="V135" s="13">
        <v>0</v>
      </c>
      <c r="W135" s="13">
        <v>0</v>
      </c>
      <c r="X135" s="13">
        <v>700000</v>
      </c>
      <c r="Y135" s="13">
        <v>0</v>
      </c>
      <c r="Z135" s="13">
        <v>0</v>
      </c>
      <c r="AA135" s="13">
        <v>0</v>
      </c>
      <c r="AB135" s="13">
        <v>400000</v>
      </c>
      <c r="AC135" s="13">
        <v>0</v>
      </c>
      <c r="AD135" s="13">
        <v>0</v>
      </c>
      <c r="AE135" s="13">
        <v>0</v>
      </c>
      <c r="AF135" s="13">
        <v>8465.1</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95">
        <f t="shared" si="61"/>
        <v>10347940.42</v>
      </c>
      <c r="BF135" s="95">
        <f t="shared" si="62"/>
        <v>9939475.3200000003</v>
      </c>
      <c r="BG135" s="95">
        <f t="shared" si="63"/>
        <v>408465.1</v>
      </c>
      <c r="BH135" s="95">
        <f t="shared" si="64"/>
        <v>0</v>
      </c>
    </row>
    <row r="136" spans="3:6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95">
        <f t="shared" si="61"/>
        <v>0</v>
      </c>
      <c r="BF136" s="95">
        <f t="shared" si="62"/>
        <v>0</v>
      </c>
      <c r="BG136" s="95">
        <f t="shared" si="63"/>
        <v>0</v>
      </c>
      <c r="BH136" s="95">
        <f t="shared" si="64"/>
        <v>0</v>
      </c>
    </row>
    <row r="137" spans="3:6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95">
        <f t="shared" si="61"/>
        <v>0</v>
      </c>
      <c r="BF137" s="95">
        <f t="shared" si="62"/>
        <v>0</v>
      </c>
      <c r="BG137" s="95">
        <f t="shared" si="63"/>
        <v>0</v>
      </c>
      <c r="BH137" s="95">
        <f t="shared" si="64"/>
        <v>0</v>
      </c>
    </row>
    <row r="138" spans="3:60" ht="15" x14ac:dyDescent="0.25">
      <c r="D138" s="8">
        <v>2014</v>
      </c>
      <c r="E138" s="8" t="s">
        <v>404</v>
      </c>
      <c r="F138" s="13">
        <v>184040</v>
      </c>
      <c r="G138" s="13">
        <v>108700</v>
      </c>
      <c r="H138" s="13">
        <v>128800</v>
      </c>
      <c r="I138" s="13">
        <v>0</v>
      </c>
      <c r="J138" s="13">
        <v>0</v>
      </c>
      <c r="K138" s="13">
        <v>81550</v>
      </c>
      <c r="L138" s="13">
        <v>0</v>
      </c>
      <c r="M138" s="13">
        <v>29206108</v>
      </c>
      <c r="N138" s="13">
        <v>1957000</v>
      </c>
      <c r="O138" s="13">
        <v>0</v>
      </c>
      <c r="P138" s="13">
        <v>8159160</v>
      </c>
      <c r="Q138" s="13">
        <v>0</v>
      </c>
      <c r="R138" s="13">
        <v>0</v>
      </c>
      <c r="S138" s="13">
        <v>238150</v>
      </c>
      <c r="T138" s="13">
        <v>0</v>
      </c>
      <c r="U138" s="13">
        <v>226350</v>
      </c>
      <c r="V138" s="13">
        <v>68200</v>
      </c>
      <c r="W138" s="13">
        <v>142193.9</v>
      </c>
      <c r="X138" s="13">
        <v>0</v>
      </c>
      <c r="Y138" s="13">
        <v>67120</v>
      </c>
      <c r="Z138" s="13">
        <v>791364.46</v>
      </c>
      <c r="AA138" s="13">
        <v>0</v>
      </c>
      <c r="AB138" s="13">
        <v>12500</v>
      </c>
      <c r="AC138" s="13">
        <v>108540</v>
      </c>
      <c r="AD138" s="13">
        <v>0</v>
      </c>
      <c r="AE138" s="13">
        <v>124500</v>
      </c>
      <c r="AF138" s="13">
        <v>122334</v>
      </c>
      <c r="AG138" s="13">
        <v>0</v>
      </c>
      <c r="AH138" s="13">
        <v>3108720</v>
      </c>
      <c r="AI138" s="13">
        <v>76827</v>
      </c>
      <c r="AJ138" s="13">
        <v>36020</v>
      </c>
      <c r="AK138" s="13">
        <v>510000</v>
      </c>
      <c r="AL138" s="13">
        <v>421550</v>
      </c>
      <c r="AM138" s="13">
        <v>274970</v>
      </c>
      <c r="AN138" s="13">
        <v>0</v>
      </c>
      <c r="AO138" s="13">
        <v>0</v>
      </c>
      <c r="AP138" s="13">
        <v>103650</v>
      </c>
      <c r="AQ138" s="13">
        <v>705180</v>
      </c>
      <c r="AR138" s="13">
        <v>181840</v>
      </c>
      <c r="AS138" s="13">
        <v>257230</v>
      </c>
      <c r="AT138" s="13">
        <v>301720</v>
      </c>
      <c r="AU138" s="13">
        <v>19300</v>
      </c>
      <c r="AV138" s="13">
        <v>0</v>
      </c>
      <c r="AW138" s="13">
        <v>147300</v>
      </c>
      <c r="AX138" s="13">
        <v>0</v>
      </c>
      <c r="AY138" s="13">
        <v>0</v>
      </c>
      <c r="AZ138" s="13">
        <v>0</v>
      </c>
      <c r="BA138" s="13">
        <v>0</v>
      </c>
      <c r="BB138" s="13">
        <v>1175260</v>
      </c>
      <c r="BC138" s="13">
        <v>10415200</v>
      </c>
      <c r="BD138" s="13">
        <v>168085</v>
      </c>
      <c r="BE138" s="95">
        <f t="shared" si="61"/>
        <v>59629462.359999999</v>
      </c>
      <c r="BF138" s="95">
        <f t="shared" si="62"/>
        <v>40500251.899999999</v>
      </c>
      <c r="BG138" s="95">
        <f t="shared" si="63"/>
        <v>4447925.46</v>
      </c>
      <c r="BH138" s="95">
        <f t="shared" si="64"/>
        <v>14681285</v>
      </c>
    </row>
    <row r="139" spans="3:6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47340</v>
      </c>
      <c r="BD139" s="13">
        <v>0</v>
      </c>
      <c r="BE139" s="95">
        <f t="shared" si="61"/>
        <v>47340</v>
      </c>
      <c r="BF139" s="95">
        <f t="shared" si="62"/>
        <v>0</v>
      </c>
      <c r="BG139" s="95">
        <f t="shared" si="63"/>
        <v>0</v>
      </c>
      <c r="BH139" s="95">
        <f t="shared" si="64"/>
        <v>47340</v>
      </c>
    </row>
    <row r="140" spans="3:6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95">
        <f t="shared" si="61"/>
        <v>0</v>
      </c>
      <c r="BF140" s="95">
        <f t="shared" si="62"/>
        <v>0</v>
      </c>
      <c r="BG140" s="95">
        <f t="shared" si="63"/>
        <v>0</v>
      </c>
      <c r="BH140" s="95">
        <f t="shared" si="64"/>
        <v>0</v>
      </c>
    </row>
    <row r="141" spans="3:6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661410</v>
      </c>
      <c r="BA141" s="13">
        <v>0</v>
      </c>
      <c r="BB141" s="13">
        <v>0</v>
      </c>
      <c r="BC141" s="13">
        <v>1409.6</v>
      </c>
      <c r="BD141" s="13">
        <v>0</v>
      </c>
      <c r="BE141" s="95">
        <f t="shared" si="61"/>
        <v>662819.6</v>
      </c>
      <c r="BF141" s="95">
        <f t="shared" si="62"/>
        <v>0</v>
      </c>
      <c r="BG141" s="95">
        <f t="shared" si="63"/>
        <v>0</v>
      </c>
      <c r="BH141" s="95">
        <f t="shared" si="64"/>
        <v>662819.6</v>
      </c>
    </row>
    <row r="142" spans="3:60"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95"/>
      <c r="BF142" s="95"/>
      <c r="BG142" s="95"/>
      <c r="BH142" s="95"/>
    </row>
    <row r="143" spans="3:60" ht="15" x14ac:dyDescent="0.25">
      <c r="C143" s="123">
        <v>204</v>
      </c>
      <c r="D143" s="123"/>
      <c r="E143" s="123" t="s">
        <v>251</v>
      </c>
      <c r="F143" s="124">
        <f>F144+F145+F146+F147+F148+F149+F150+F151</f>
        <v>292622.19999999995</v>
      </c>
      <c r="G143" s="124">
        <f t="shared" ref="G143:BD143" si="65">G144+G145+G146+G147+G148+G149+G150+G151</f>
        <v>1862.1</v>
      </c>
      <c r="H143" s="124">
        <f t="shared" si="65"/>
        <v>240534.27000000002</v>
      </c>
      <c r="I143" s="124">
        <f t="shared" si="65"/>
        <v>370535.18000000005</v>
      </c>
      <c r="J143" s="124">
        <f t="shared" si="65"/>
        <v>160983.32</v>
      </c>
      <c r="K143" s="124">
        <f t="shared" si="65"/>
        <v>104245.59</v>
      </c>
      <c r="L143" s="124">
        <f t="shared" si="65"/>
        <v>668659.65999999992</v>
      </c>
      <c r="M143" s="124">
        <f t="shared" si="65"/>
        <v>1898689</v>
      </c>
      <c r="N143" s="124">
        <f t="shared" si="65"/>
        <v>4262.95</v>
      </c>
      <c r="O143" s="124">
        <f t="shared" si="65"/>
        <v>88324.77</v>
      </c>
      <c r="P143" s="124">
        <f t="shared" si="65"/>
        <v>1221404.92</v>
      </c>
      <c r="Q143" s="124">
        <f t="shared" si="65"/>
        <v>257376.86</v>
      </c>
      <c r="R143" s="124">
        <f t="shared" si="65"/>
        <v>30884.95</v>
      </c>
      <c r="S143" s="124">
        <f t="shared" si="65"/>
        <v>35834.35</v>
      </c>
      <c r="T143" s="124">
        <f t="shared" si="65"/>
        <v>44079.9</v>
      </c>
      <c r="U143" s="124">
        <f t="shared" si="65"/>
        <v>330750.65000000002</v>
      </c>
      <c r="V143" s="124">
        <f t="shared" si="65"/>
        <v>75796.820000000007</v>
      </c>
      <c r="W143" s="124">
        <f t="shared" si="65"/>
        <v>308149.64999999997</v>
      </c>
      <c r="X143" s="124">
        <f t="shared" si="65"/>
        <v>173521.84000000003</v>
      </c>
      <c r="Y143" s="124">
        <f t="shared" si="65"/>
        <v>151414.66</v>
      </c>
      <c r="Z143" s="124">
        <f t="shared" si="65"/>
        <v>-77305.600000000006</v>
      </c>
      <c r="AA143" s="124">
        <f t="shared" si="65"/>
        <v>1755704.42</v>
      </c>
      <c r="AB143" s="124">
        <f t="shared" si="65"/>
        <v>251687.35</v>
      </c>
      <c r="AC143" s="124">
        <f t="shared" si="65"/>
        <v>23049.55</v>
      </c>
      <c r="AD143" s="124">
        <f t="shared" si="65"/>
        <v>515902.96</v>
      </c>
      <c r="AE143" s="124">
        <f t="shared" si="65"/>
        <v>174269.29</v>
      </c>
      <c r="AF143" s="124">
        <f t="shared" si="65"/>
        <v>261354.39</v>
      </c>
      <c r="AG143" s="124">
        <f t="shared" si="65"/>
        <v>11061.699999999997</v>
      </c>
      <c r="AH143" s="124">
        <f t="shared" si="65"/>
        <v>144612.45000000001</v>
      </c>
      <c r="AI143" s="124">
        <f t="shared" si="65"/>
        <v>65991.600000000006</v>
      </c>
      <c r="AJ143" s="124">
        <f t="shared" si="65"/>
        <v>91336.3</v>
      </c>
      <c r="AK143" s="124">
        <f t="shared" si="65"/>
        <v>892966.34</v>
      </c>
      <c r="AL143" s="124">
        <f t="shared" si="65"/>
        <v>163967.20000000001</v>
      </c>
      <c r="AM143" s="124">
        <f t="shared" si="65"/>
        <v>569588.87</v>
      </c>
      <c r="AN143" s="124">
        <f t="shared" si="65"/>
        <v>30267.200000000001</v>
      </c>
      <c r="AO143" s="124">
        <f t="shared" si="65"/>
        <v>284846.68</v>
      </c>
      <c r="AP143" s="124">
        <f t="shared" si="65"/>
        <v>250092.03000000003</v>
      </c>
      <c r="AQ143" s="124">
        <f t="shared" si="65"/>
        <v>164661.37</v>
      </c>
      <c r="AR143" s="124">
        <f t="shared" si="65"/>
        <v>169776.27000000002</v>
      </c>
      <c r="AS143" s="124">
        <f t="shared" si="65"/>
        <v>35907.949999999997</v>
      </c>
      <c r="AT143" s="124">
        <f t="shared" si="65"/>
        <v>15070.65</v>
      </c>
      <c r="AU143" s="124">
        <f t="shared" si="65"/>
        <v>31947.05</v>
      </c>
      <c r="AV143" s="124">
        <f t="shared" si="65"/>
        <v>442704.93000000005</v>
      </c>
      <c r="AW143" s="124">
        <f t="shared" si="65"/>
        <v>141811.70000000001</v>
      </c>
      <c r="AX143" s="124">
        <f t="shared" si="65"/>
        <v>126273.45999999999</v>
      </c>
      <c r="AY143" s="124">
        <f t="shared" si="65"/>
        <v>77783.5</v>
      </c>
      <c r="AZ143" s="124">
        <f t="shared" si="65"/>
        <v>200008.85</v>
      </c>
      <c r="BA143" s="124">
        <f t="shared" si="65"/>
        <v>38596.42</v>
      </c>
      <c r="BB143" s="124">
        <f t="shared" si="65"/>
        <v>50924.54</v>
      </c>
      <c r="BC143" s="124">
        <f t="shared" si="65"/>
        <v>1116158.22</v>
      </c>
      <c r="BD143" s="124">
        <f t="shared" si="65"/>
        <v>276672.05</v>
      </c>
      <c r="BE143" s="124">
        <f t="shared" ref="BE143:BE151" si="66">SUM(F143:BD143)</f>
        <v>14757623.329999998</v>
      </c>
      <c r="BF143" s="124">
        <f t="shared" ref="BF143:BF151" si="67">SUM(F143:X143)</f>
        <v>6308518.9800000023</v>
      </c>
      <c r="BG143" s="124">
        <f t="shared" ref="BG143:BG151" si="68">SUM(Y143:AJ143)</f>
        <v>3369079.0700000003</v>
      </c>
      <c r="BH143" s="124">
        <f t="shared" ref="BH143:BH151" si="69">SUM(AK143:BD143)</f>
        <v>5080025.28</v>
      </c>
    </row>
    <row r="144" spans="3:60" ht="15" x14ac:dyDescent="0.25">
      <c r="D144" s="8">
        <v>2040</v>
      </c>
      <c r="E144" s="8" t="s">
        <v>60</v>
      </c>
      <c r="F144" s="13">
        <v>74.900000000000006</v>
      </c>
      <c r="G144" s="13">
        <v>0</v>
      </c>
      <c r="H144" s="13">
        <v>0</v>
      </c>
      <c r="I144" s="13">
        <v>0</v>
      </c>
      <c r="J144" s="13">
        <v>0</v>
      </c>
      <c r="K144" s="13">
        <v>0</v>
      </c>
      <c r="L144" s="13">
        <v>0</v>
      </c>
      <c r="M144" s="13">
        <v>0</v>
      </c>
      <c r="N144" s="13">
        <v>0</v>
      </c>
      <c r="O144" s="13">
        <v>0</v>
      </c>
      <c r="P144" s="13">
        <v>1114</v>
      </c>
      <c r="Q144" s="13">
        <v>0</v>
      </c>
      <c r="R144" s="13">
        <v>1684.85</v>
      </c>
      <c r="S144" s="13">
        <v>0</v>
      </c>
      <c r="T144" s="13">
        <v>0</v>
      </c>
      <c r="U144" s="13">
        <v>0</v>
      </c>
      <c r="V144" s="13">
        <v>0</v>
      </c>
      <c r="W144" s="13">
        <v>5134.6499999999996</v>
      </c>
      <c r="X144" s="13">
        <v>3646.2</v>
      </c>
      <c r="Y144" s="13">
        <v>200</v>
      </c>
      <c r="Z144" s="13">
        <v>0</v>
      </c>
      <c r="AA144" s="13">
        <v>0</v>
      </c>
      <c r="AB144" s="13">
        <v>925</v>
      </c>
      <c r="AC144" s="13">
        <v>0</v>
      </c>
      <c r="AD144" s="13">
        <v>0</v>
      </c>
      <c r="AE144" s="13">
        <v>0</v>
      </c>
      <c r="AF144" s="13">
        <v>0</v>
      </c>
      <c r="AG144" s="13">
        <v>13030</v>
      </c>
      <c r="AH144" s="13">
        <v>4591.8</v>
      </c>
      <c r="AI144" s="13">
        <v>0</v>
      </c>
      <c r="AJ144" s="13">
        <v>76.5</v>
      </c>
      <c r="AK144" s="13">
        <v>0</v>
      </c>
      <c r="AL144" s="13">
        <v>0</v>
      </c>
      <c r="AM144" s="13">
        <v>-1879.05</v>
      </c>
      <c r="AN144" s="13">
        <v>0</v>
      </c>
      <c r="AO144" s="13">
        <v>17461.349999999999</v>
      </c>
      <c r="AP144" s="13">
        <v>0</v>
      </c>
      <c r="AQ144" s="13">
        <v>0</v>
      </c>
      <c r="AR144" s="13">
        <v>0</v>
      </c>
      <c r="AS144" s="13">
        <v>0</v>
      </c>
      <c r="AT144" s="13">
        <v>0</v>
      </c>
      <c r="AU144" s="13">
        <v>0</v>
      </c>
      <c r="AV144" s="13">
        <v>0</v>
      </c>
      <c r="AW144" s="13">
        <v>0</v>
      </c>
      <c r="AX144" s="13">
        <v>0</v>
      </c>
      <c r="AY144" s="13">
        <v>0</v>
      </c>
      <c r="AZ144" s="13">
        <v>0</v>
      </c>
      <c r="BA144" s="13">
        <v>0</v>
      </c>
      <c r="BB144" s="13">
        <v>8227.5</v>
      </c>
      <c r="BC144" s="13">
        <v>536605.80000000005</v>
      </c>
      <c r="BD144" s="13">
        <v>0</v>
      </c>
      <c r="BE144" s="95">
        <f t="shared" si="66"/>
        <v>590893.5</v>
      </c>
      <c r="BF144" s="95">
        <f t="shared" si="67"/>
        <v>11654.599999999999</v>
      </c>
      <c r="BG144" s="95">
        <f t="shared" si="68"/>
        <v>18823.3</v>
      </c>
      <c r="BH144" s="95">
        <f t="shared" si="69"/>
        <v>560415.60000000009</v>
      </c>
    </row>
    <row r="145" spans="3:60" ht="15" x14ac:dyDescent="0.25">
      <c r="D145" s="8">
        <v>2041</v>
      </c>
      <c r="E145" s="8" t="s">
        <v>273</v>
      </c>
      <c r="F145" s="13">
        <v>221679.9</v>
      </c>
      <c r="G145" s="13">
        <v>1600</v>
      </c>
      <c r="H145" s="13">
        <v>22336.1</v>
      </c>
      <c r="I145" s="13">
        <v>156717.89000000001</v>
      </c>
      <c r="J145" s="13">
        <v>0</v>
      </c>
      <c r="K145" s="13">
        <v>41281.199999999997</v>
      </c>
      <c r="L145" s="13">
        <v>495494.16</v>
      </c>
      <c r="M145" s="13">
        <v>1752427</v>
      </c>
      <c r="N145" s="13">
        <v>900</v>
      </c>
      <c r="O145" s="13">
        <v>88324.77</v>
      </c>
      <c r="P145" s="13">
        <v>80725</v>
      </c>
      <c r="Q145" s="13">
        <v>257376.86</v>
      </c>
      <c r="R145" s="13">
        <v>28270.2</v>
      </c>
      <c r="S145" s="13">
        <v>34264.400000000001</v>
      </c>
      <c r="T145" s="13">
        <v>25419.5</v>
      </c>
      <c r="U145" s="13">
        <v>11231.65</v>
      </c>
      <c r="V145" s="13">
        <v>14426.42</v>
      </c>
      <c r="W145" s="13">
        <v>72029.8</v>
      </c>
      <c r="X145" s="13">
        <v>169875.64</v>
      </c>
      <c r="Y145" s="13">
        <v>34216.6</v>
      </c>
      <c r="Z145" s="13">
        <v>7534.15</v>
      </c>
      <c r="AA145" s="13">
        <v>1755704.42</v>
      </c>
      <c r="AB145" s="13">
        <v>4050</v>
      </c>
      <c r="AC145" s="13">
        <v>0</v>
      </c>
      <c r="AD145" s="13">
        <v>482153.4</v>
      </c>
      <c r="AE145" s="13">
        <v>167692.04</v>
      </c>
      <c r="AF145" s="13">
        <v>261354.39</v>
      </c>
      <c r="AG145" s="13">
        <v>-18988.650000000001</v>
      </c>
      <c r="AH145" s="13">
        <v>8256</v>
      </c>
      <c r="AI145" s="13">
        <v>50175.85</v>
      </c>
      <c r="AJ145" s="13">
        <v>2200</v>
      </c>
      <c r="AK145" s="13">
        <v>0</v>
      </c>
      <c r="AL145" s="13">
        <v>163967.20000000001</v>
      </c>
      <c r="AM145" s="13">
        <v>7673.5</v>
      </c>
      <c r="AN145" s="13">
        <v>27443.8</v>
      </c>
      <c r="AO145" s="13">
        <v>267385.33</v>
      </c>
      <c r="AP145" s="13">
        <v>215064.48</v>
      </c>
      <c r="AQ145" s="13">
        <v>124661.37</v>
      </c>
      <c r="AR145" s="13">
        <v>157560.67000000001</v>
      </c>
      <c r="AS145" s="13">
        <v>35907.949999999997</v>
      </c>
      <c r="AT145" s="13">
        <v>8008.15</v>
      </c>
      <c r="AU145" s="13">
        <v>31874</v>
      </c>
      <c r="AV145" s="13">
        <v>204228.15</v>
      </c>
      <c r="AW145" s="13">
        <v>141811.70000000001</v>
      </c>
      <c r="AX145" s="13">
        <v>40844.85</v>
      </c>
      <c r="AY145" s="13">
        <v>77783.5</v>
      </c>
      <c r="AZ145" s="13">
        <v>200008.85</v>
      </c>
      <c r="BA145" s="13">
        <v>37993.42</v>
      </c>
      <c r="BB145" s="13">
        <v>39347.040000000001</v>
      </c>
      <c r="BC145" s="13">
        <v>328263.69</v>
      </c>
      <c r="BD145" s="13">
        <v>23539.8</v>
      </c>
      <c r="BE145" s="95">
        <f t="shared" si="66"/>
        <v>8362096.1400000006</v>
      </c>
      <c r="BF145" s="95">
        <f t="shared" si="67"/>
        <v>3474380.4899999998</v>
      </c>
      <c r="BG145" s="95">
        <f t="shared" si="68"/>
        <v>2754348.2</v>
      </c>
      <c r="BH145" s="95">
        <f t="shared" si="69"/>
        <v>2133367.4500000002</v>
      </c>
    </row>
    <row r="146" spans="3:60" ht="15" x14ac:dyDescent="0.25">
      <c r="D146" s="8">
        <v>2042</v>
      </c>
      <c r="E146" s="8" t="s">
        <v>325</v>
      </c>
      <c r="F146" s="13">
        <v>0</v>
      </c>
      <c r="G146" s="13">
        <v>262.10000000000002</v>
      </c>
      <c r="H146" s="13">
        <v>0</v>
      </c>
      <c r="I146" s="13">
        <v>0</v>
      </c>
      <c r="J146" s="13">
        <v>17339.349999999999</v>
      </c>
      <c r="K146" s="13">
        <v>21633.84</v>
      </c>
      <c r="L146" s="13">
        <v>209845.55</v>
      </c>
      <c r="M146" s="13">
        <v>146262</v>
      </c>
      <c r="N146" s="13">
        <v>3362.95</v>
      </c>
      <c r="O146" s="13">
        <v>0</v>
      </c>
      <c r="P146" s="13">
        <v>0</v>
      </c>
      <c r="Q146" s="13">
        <v>0</v>
      </c>
      <c r="R146" s="13">
        <v>84.9</v>
      </c>
      <c r="S146" s="13">
        <v>1569.95</v>
      </c>
      <c r="T146" s="13">
        <v>18660.400000000001</v>
      </c>
      <c r="U146" s="13">
        <v>0</v>
      </c>
      <c r="V146" s="13">
        <v>4149.05</v>
      </c>
      <c r="W146" s="13">
        <v>37632.6</v>
      </c>
      <c r="X146" s="13">
        <v>0</v>
      </c>
      <c r="Y146" s="13">
        <v>0</v>
      </c>
      <c r="Z146" s="13">
        <v>0</v>
      </c>
      <c r="AA146" s="13">
        <v>0</v>
      </c>
      <c r="AB146" s="13">
        <v>11606.35</v>
      </c>
      <c r="AC146" s="13">
        <v>23049.55</v>
      </c>
      <c r="AD146" s="13">
        <v>0</v>
      </c>
      <c r="AE146" s="13">
        <v>6577.25</v>
      </c>
      <c r="AF146" s="13">
        <v>0</v>
      </c>
      <c r="AG146" s="13">
        <v>17020.349999999999</v>
      </c>
      <c r="AH146" s="13">
        <v>3703.65</v>
      </c>
      <c r="AI146" s="13">
        <v>15865.75</v>
      </c>
      <c r="AJ146" s="13">
        <v>246.45</v>
      </c>
      <c r="AK146" s="13">
        <v>21100.2</v>
      </c>
      <c r="AL146" s="13">
        <v>0</v>
      </c>
      <c r="AM146" s="13">
        <v>0</v>
      </c>
      <c r="AN146" s="13">
        <v>2823.4</v>
      </c>
      <c r="AO146" s="13">
        <v>0</v>
      </c>
      <c r="AP146" s="13">
        <v>34427.550000000003</v>
      </c>
      <c r="AQ146" s="13">
        <v>0</v>
      </c>
      <c r="AR146" s="13">
        <v>0</v>
      </c>
      <c r="AS146" s="13">
        <v>0</v>
      </c>
      <c r="AT146" s="13">
        <v>435</v>
      </c>
      <c r="AU146" s="13">
        <v>73.05</v>
      </c>
      <c r="AV146" s="13">
        <v>109964</v>
      </c>
      <c r="AW146" s="13">
        <v>0</v>
      </c>
      <c r="AX146" s="13">
        <v>24928.61</v>
      </c>
      <c r="AY146" s="13">
        <v>0</v>
      </c>
      <c r="AZ146" s="13">
        <v>0</v>
      </c>
      <c r="BA146" s="13">
        <v>603</v>
      </c>
      <c r="BB146" s="13">
        <v>0</v>
      </c>
      <c r="BC146" s="13">
        <v>0</v>
      </c>
      <c r="BD146" s="13">
        <v>189.15</v>
      </c>
      <c r="BE146" s="95">
        <f t="shared" si="66"/>
        <v>733416</v>
      </c>
      <c r="BF146" s="95">
        <f t="shared" si="67"/>
        <v>460802.69</v>
      </c>
      <c r="BG146" s="95">
        <f t="shared" si="68"/>
        <v>78069.349999999991</v>
      </c>
      <c r="BH146" s="95">
        <f t="shared" si="69"/>
        <v>194543.96</v>
      </c>
    </row>
    <row r="147" spans="3:60" ht="15" x14ac:dyDescent="0.25">
      <c r="D147" s="8">
        <v>2043</v>
      </c>
      <c r="E147" s="8" t="s">
        <v>326</v>
      </c>
      <c r="F147" s="13">
        <v>70867.399999999994</v>
      </c>
      <c r="G147" s="13">
        <v>0</v>
      </c>
      <c r="H147" s="13">
        <v>218198.17</v>
      </c>
      <c r="I147" s="13">
        <v>0</v>
      </c>
      <c r="J147" s="13">
        <v>116437.09</v>
      </c>
      <c r="K147" s="13">
        <v>0</v>
      </c>
      <c r="L147" s="13">
        <v>0</v>
      </c>
      <c r="M147" s="13">
        <v>0</v>
      </c>
      <c r="N147" s="13">
        <v>0</v>
      </c>
      <c r="O147" s="13">
        <v>0</v>
      </c>
      <c r="P147" s="13">
        <v>871467.58</v>
      </c>
      <c r="Q147" s="13">
        <v>0</v>
      </c>
      <c r="R147" s="13">
        <v>0</v>
      </c>
      <c r="S147" s="13">
        <v>0</v>
      </c>
      <c r="T147" s="13">
        <v>0</v>
      </c>
      <c r="U147" s="13">
        <v>319519</v>
      </c>
      <c r="V147" s="13">
        <v>54379.8</v>
      </c>
      <c r="W147" s="13">
        <v>193182</v>
      </c>
      <c r="X147" s="13">
        <v>0</v>
      </c>
      <c r="Y147" s="13">
        <v>116016.06</v>
      </c>
      <c r="Z147" s="13">
        <v>-84839.75</v>
      </c>
      <c r="AA147" s="13">
        <v>0</v>
      </c>
      <c r="AB147" s="13">
        <v>226473.4</v>
      </c>
      <c r="AC147" s="13">
        <v>0</v>
      </c>
      <c r="AD147" s="13">
        <v>0</v>
      </c>
      <c r="AE147" s="13">
        <v>0</v>
      </c>
      <c r="AF147" s="13">
        <v>0</v>
      </c>
      <c r="AG147" s="13">
        <v>0</v>
      </c>
      <c r="AH147" s="13">
        <v>123079.6</v>
      </c>
      <c r="AI147" s="13">
        <v>0</v>
      </c>
      <c r="AJ147" s="13">
        <v>73680.95</v>
      </c>
      <c r="AK147" s="13">
        <v>871866.14</v>
      </c>
      <c r="AL147" s="13">
        <v>0</v>
      </c>
      <c r="AM147" s="13">
        <v>563794.42000000004</v>
      </c>
      <c r="AN147" s="13">
        <v>0</v>
      </c>
      <c r="AO147" s="13">
        <v>0</v>
      </c>
      <c r="AP147" s="13">
        <v>0</v>
      </c>
      <c r="AQ147" s="13">
        <v>40000</v>
      </c>
      <c r="AR147" s="13">
        <v>0</v>
      </c>
      <c r="AS147" s="13">
        <v>0</v>
      </c>
      <c r="AT147" s="13">
        <v>6627.5</v>
      </c>
      <c r="AU147" s="13">
        <v>0</v>
      </c>
      <c r="AV147" s="13">
        <v>128512.78</v>
      </c>
      <c r="AW147" s="13">
        <v>0</v>
      </c>
      <c r="AX147" s="13">
        <v>60500</v>
      </c>
      <c r="AY147" s="13">
        <v>0</v>
      </c>
      <c r="AZ147" s="13">
        <v>0</v>
      </c>
      <c r="BA147" s="13">
        <v>0</v>
      </c>
      <c r="BB147" s="13">
        <v>0</v>
      </c>
      <c r="BC147" s="13">
        <v>0</v>
      </c>
      <c r="BD147" s="13">
        <v>252943.1</v>
      </c>
      <c r="BE147" s="95">
        <f t="shared" si="66"/>
        <v>4222705.24</v>
      </c>
      <c r="BF147" s="95">
        <f t="shared" si="67"/>
        <v>1844051.04</v>
      </c>
      <c r="BG147" s="95">
        <f t="shared" si="68"/>
        <v>454410.26</v>
      </c>
      <c r="BH147" s="95">
        <f t="shared" si="69"/>
        <v>1924243.9400000002</v>
      </c>
    </row>
    <row r="148" spans="3:60" ht="15" x14ac:dyDescent="0.25">
      <c r="D148" s="8">
        <v>2044</v>
      </c>
      <c r="E148" s="8" t="s">
        <v>406</v>
      </c>
      <c r="F148" s="13">
        <v>0</v>
      </c>
      <c r="G148" s="13">
        <v>0</v>
      </c>
      <c r="H148" s="13">
        <v>0</v>
      </c>
      <c r="I148" s="13">
        <v>213817.29</v>
      </c>
      <c r="J148" s="13">
        <v>27206.880000000001</v>
      </c>
      <c r="K148" s="13">
        <v>41330.550000000003</v>
      </c>
      <c r="L148" s="13">
        <v>0</v>
      </c>
      <c r="M148" s="13">
        <v>0</v>
      </c>
      <c r="N148" s="13">
        <v>0</v>
      </c>
      <c r="O148" s="13">
        <v>0</v>
      </c>
      <c r="P148" s="13">
        <v>108493.19</v>
      </c>
      <c r="Q148" s="13">
        <v>0</v>
      </c>
      <c r="R148" s="13">
        <v>0</v>
      </c>
      <c r="S148" s="13">
        <v>0</v>
      </c>
      <c r="T148" s="13">
        <v>0</v>
      </c>
      <c r="U148" s="13">
        <v>0</v>
      </c>
      <c r="V148" s="13">
        <v>2841.55</v>
      </c>
      <c r="W148" s="13">
        <v>0</v>
      </c>
      <c r="X148" s="13">
        <v>0</v>
      </c>
      <c r="Y148" s="13">
        <v>982</v>
      </c>
      <c r="Z148" s="13">
        <v>0</v>
      </c>
      <c r="AA148" s="13">
        <v>0</v>
      </c>
      <c r="AB148" s="13">
        <v>1826.1</v>
      </c>
      <c r="AC148" s="13">
        <v>0</v>
      </c>
      <c r="AD148" s="13">
        <v>0</v>
      </c>
      <c r="AE148" s="13">
        <v>0</v>
      </c>
      <c r="AF148" s="13">
        <v>0</v>
      </c>
      <c r="AG148" s="13">
        <v>0</v>
      </c>
      <c r="AH148" s="13">
        <v>2803.4</v>
      </c>
      <c r="AI148" s="13">
        <v>0</v>
      </c>
      <c r="AJ148" s="13">
        <v>1271.55</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3350</v>
      </c>
      <c r="BC148" s="13">
        <v>226288.73</v>
      </c>
      <c r="BD148" s="13">
        <v>0</v>
      </c>
      <c r="BE148" s="95">
        <f t="shared" si="66"/>
        <v>630211.24</v>
      </c>
      <c r="BF148" s="95">
        <f t="shared" si="67"/>
        <v>393689.46</v>
      </c>
      <c r="BG148" s="95">
        <f t="shared" si="68"/>
        <v>6883.05</v>
      </c>
      <c r="BH148" s="95">
        <f t="shared" si="69"/>
        <v>229638.73</v>
      </c>
    </row>
    <row r="149" spans="3:60" ht="15" x14ac:dyDescent="0.25">
      <c r="D149" s="8">
        <v>2045</v>
      </c>
      <c r="E149" s="8" t="s">
        <v>328</v>
      </c>
      <c r="F149" s="13">
        <v>0</v>
      </c>
      <c r="G149" s="13">
        <v>0</v>
      </c>
      <c r="H149" s="13">
        <v>0</v>
      </c>
      <c r="I149" s="13">
        <v>0</v>
      </c>
      <c r="J149" s="13">
        <v>0</v>
      </c>
      <c r="K149" s="13">
        <v>0</v>
      </c>
      <c r="L149" s="13">
        <v>0</v>
      </c>
      <c r="M149" s="13">
        <v>0</v>
      </c>
      <c r="N149" s="13">
        <v>0</v>
      </c>
      <c r="O149" s="13">
        <v>0</v>
      </c>
      <c r="P149" s="13">
        <v>5105.1499999999996</v>
      </c>
      <c r="Q149" s="13">
        <v>0</v>
      </c>
      <c r="R149" s="13">
        <v>845</v>
      </c>
      <c r="S149" s="13">
        <v>0</v>
      </c>
      <c r="T149" s="13">
        <v>0</v>
      </c>
      <c r="U149" s="13">
        <v>0</v>
      </c>
      <c r="V149" s="13">
        <v>0</v>
      </c>
      <c r="W149" s="13">
        <v>170.6</v>
      </c>
      <c r="X149" s="13">
        <v>0</v>
      </c>
      <c r="Y149" s="13">
        <v>0</v>
      </c>
      <c r="Z149" s="13">
        <v>0</v>
      </c>
      <c r="AA149" s="13">
        <v>0</v>
      </c>
      <c r="AB149" s="13">
        <v>6806.5</v>
      </c>
      <c r="AC149" s="13">
        <v>0</v>
      </c>
      <c r="AD149" s="13">
        <v>33749.56</v>
      </c>
      <c r="AE149" s="13">
        <v>0</v>
      </c>
      <c r="AF149" s="13">
        <v>0</v>
      </c>
      <c r="AG149" s="13">
        <v>0</v>
      </c>
      <c r="AH149" s="13">
        <v>2178</v>
      </c>
      <c r="AI149" s="13">
        <v>-50</v>
      </c>
      <c r="AJ149" s="13">
        <v>13860.85</v>
      </c>
      <c r="AK149" s="13">
        <v>0</v>
      </c>
      <c r="AL149" s="13">
        <v>0</v>
      </c>
      <c r="AM149" s="13">
        <v>0</v>
      </c>
      <c r="AN149" s="13">
        <v>0</v>
      </c>
      <c r="AO149" s="13">
        <v>0</v>
      </c>
      <c r="AP149" s="13">
        <v>600</v>
      </c>
      <c r="AQ149" s="13">
        <v>0</v>
      </c>
      <c r="AR149" s="13">
        <v>12215.6</v>
      </c>
      <c r="AS149" s="13">
        <v>0</v>
      </c>
      <c r="AT149" s="13">
        <v>0</v>
      </c>
      <c r="AU149" s="13">
        <v>0</v>
      </c>
      <c r="AV149" s="13">
        <v>0</v>
      </c>
      <c r="AW149" s="13">
        <v>0</v>
      </c>
      <c r="AX149" s="13">
        <v>0</v>
      </c>
      <c r="AY149" s="13">
        <v>0</v>
      </c>
      <c r="AZ149" s="13">
        <v>0</v>
      </c>
      <c r="BA149" s="13">
        <v>0</v>
      </c>
      <c r="BB149" s="13">
        <v>0</v>
      </c>
      <c r="BC149" s="13">
        <v>0</v>
      </c>
      <c r="BD149" s="13">
        <v>0</v>
      </c>
      <c r="BE149" s="95">
        <f t="shared" si="66"/>
        <v>75481.259999999995</v>
      </c>
      <c r="BF149" s="95">
        <f t="shared" si="67"/>
        <v>6120.75</v>
      </c>
      <c r="BG149" s="95">
        <f t="shared" si="68"/>
        <v>56544.909999999996</v>
      </c>
      <c r="BH149" s="95">
        <f t="shared" si="69"/>
        <v>12815.6</v>
      </c>
    </row>
    <row r="150" spans="3:60" ht="15" x14ac:dyDescent="0.25">
      <c r="D150" s="8">
        <v>2046</v>
      </c>
      <c r="E150" s="8" t="s">
        <v>407</v>
      </c>
      <c r="F150" s="13">
        <v>0</v>
      </c>
      <c r="G150" s="13">
        <v>0</v>
      </c>
      <c r="H150" s="13">
        <v>0</v>
      </c>
      <c r="I150" s="13">
        <v>0</v>
      </c>
      <c r="J150" s="13">
        <v>0</v>
      </c>
      <c r="K150" s="13">
        <v>0</v>
      </c>
      <c r="L150" s="13">
        <v>0</v>
      </c>
      <c r="M150" s="13">
        <v>0</v>
      </c>
      <c r="N150" s="13">
        <v>0</v>
      </c>
      <c r="O150" s="13">
        <v>0</v>
      </c>
      <c r="P150" s="13">
        <v>154500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0</v>
      </c>
      <c r="AX150" s="13">
        <v>0</v>
      </c>
      <c r="AY150" s="13">
        <v>0</v>
      </c>
      <c r="AZ150" s="13">
        <v>0</v>
      </c>
      <c r="BA150" s="13">
        <v>0</v>
      </c>
      <c r="BB150" s="13">
        <v>0</v>
      </c>
      <c r="BC150" s="13">
        <v>25000</v>
      </c>
      <c r="BD150" s="13">
        <v>0</v>
      </c>
      <c r="BE150" s="95">
        <f t="shared" si="66"/>
        <v>179500</v>
      </c>
      <c r="BF150" s="95">
        <f t="shared" si="67"/>
        <v>154500</v>
      </c>
      <c r="BG150" s="95">
        <f t="shared" si="68"/>
        <v>0</v>
      </c>
      <c r="BH150" s="95">
        <f t="shared" si="69"/>
        <v>25000</v>
      </c>
    </row>
    <row r="151" spans="3:60" ht="15" x14ac:dyDescent="0.25">
      <c r="D151" s="8">
        <v>2049</v>
      </c>
      <c r="E151" s="8" t="s">
        <v>408</v>
      </c>
      <c r="F151" s="13">
        <v>0</v>
      </c>
      <c r="G151" s="13">
        <v>0</v>
      </c>
      <c r="H151" s="13">
        <v>0</v>
      </c>
      <c r="I151" s="13">
        <v>0</v>
      </c>
      <c r="J151" s="13">
        <v>0</v>
      </c>
      <c r="K151" s="13">
        <v>0</v>
      </c>
      <c r="L151" s="13">
        <v>-36680.050000000003</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95">
        <f t="shared" si="66"/>
        <v>-36680.050000000003</v>
      </c>
      <c r="BF151" s="95">
        <f t="shared" si="67"/>
        <v>-36680.050000000003</v>
      </c>
      <c r="BG151" s="95">
        <f t="shared" si="68"/>
        <v>0</v>
      </c>
      <c r="BH151" s="95">
        <f t="shared" si="69"/>
        <v>0</v>
      </c>
    </row>
    <row r="152" spans="3:60"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95"/>
      <c r="BF152" s="95"/>
      <c r="BG152" s="95"/>
      <c r="BH152" s="95"/>
    </row>
    <row r="153" spans="3:60" ht="15" x14ac:dyDescent="0.25">
      <c r="C153" s="123">
        <v>205</v>
      </c>
      <c r="D153" s="123"/>
      <c r="E153" s="123" t="s">
        <v>252</v>
      </c>
      <c r="F153" s="124">
        <f>F154+F155+F156+F157+F158+F159+F160+F161+F162+F163</f>
        <v>0</v>
      </c>
      <c r="G153" s="124">
        <f t="shared" ref="G153:BD153" si="70">G154+G155+G156+G157+G158+G159+G160+G161+G162+G163</f>
        <v>0</v>
      </c>
      <c r="H153" s="124">
        <f t="shared" si="70"/>
        <v>0</v>
      </c>
      <c r="I153" s="124">
        <f t="shared" si="70"/>
        <v>0</v>
      </c>
      <c r="J153" s="124">
        <f t="shared" si="70"/>
        <v>54229</v>
      </c>
      <c r="K153" s="124">
        <f t="shared" si="70"/>
        <v>0</v>
      </c>
      <c r="L153" s="124">
        <f t="shared" si="70"/>
        <v>25800</v>
      </c>
      <c r="M153" s="124">
        <f t="shared" si="70"/>
        <v>596152.4</v>
      </c>
      <c r="N153" s="124">
        <f t="shared" si="70"/>
        <v>0</v>
      </c>
      <c r="O153" s="124">
        <f t="shared" si="70"/>
        <v>0</v>
      </c>
      <c r="P153" s="124">
        <f t="shared" si="70"/>
        <v>88573.700000000012</v>
      </c>
      <c r="Q153" s="124">
        <f t="shared" si="70"/>
        <v>0</v>
      </c>
      <c r="R153" s="124">
        <f t="shared" si="70"/>
        <v>0</v>
      </c>
      <c r="S153" s="124">
        <f t="shared" si="70"/>
        <v>0</v>
      </c>
      <c r="T153" s="124">
        <f t="shared" si="70"/>
        <v>0</v>
      </c>
      <c r="U153" s="124">
        <f t="shared" si="70"/>
        <v>35597.15</v>
      </c>
      <c r="V153" s="124">
        <f t="shared" si="70"/>
        <v>10000</v>
      </c>
      <c r="W153" s="124">
        <f t="shared" si="70"/>
        <v>7660</v>
      </c>
      <c r="X153" s="124">
        <f t="shared" si="70"/>
        <v>61000</v>
      </c>
      <c r="Y153" s="124">
        <f t="shared" si="70"/>
        <v>0</v>
      </c>
      <c r="Z153" s="124">
        <f t="shared" si="70"/>
        <v>93040</v>
      </c>
      <c r="AA153" s="124">
        <f t="shared" si="70"/>
        <v>0</v>
      </c>
      <c r="AB153" s="124">
        <f t="shared" si="70"/>
        <v>0</v>
      </c>
      <c r="AC153" s="124">
        <f t="shared" si="70"/>
        <v>0</v>
      </c>
      <c r="AD153" s="124">
        <f t="shared" si="70"/>
        <v>10741.67</v>
      </c>
      <c r="AE153" s="124">
        <f t="shared" si="70"/>
        <v>0</v>
      </c>
      <c r="AF153" s="124">
        <f t="shared" si="70"/>
        <v>0</v>
      </c>
      <c r="AG153" s="124">
        <f t="shared" si="70"/>
        <v>0</v>
      </c>
      <c r="AH153" s="124">
        <f t="shared" si="70"/>
        <v>84000</v>
      </c>
      <c r="AI153" s="124">
        <f t="shared" si="70"/>
        <v>0</v>
      </c>
      <c r="AJ153" s="124">
        <f t="shared" si="70"/>
        <v>0</v>
      </c>
      <c r="AK153" s="124">
        <f t="shared" si="70"/>
        <v>0</v>
      </c>
      <c r="AL153" s="124">
        <f t="shared" si="70"/>
        <v>0</v>
      </c>
      <c r="AM153" s="124">
        <f t="shared" si="70"/>
        <v>0</v>
      </c>
      <c r="AN153" s="124">
        <f t="shared" si="70"/>
        <v>0</v>
      </c>
      <c r="AO153" s="124">
        <f t="shared" si="70"/>
        <v>0</v>
      </c>
      <c r="AP153" s="124">
        <f t="shared" si="70"/>
        <v>0</v>
      </c>
      <c r="AQ153" s="124">
        <f t="shared" si="70"/>
        <v>0</v>
      </c>
      <c r="AR153" s="124">
        <f t="shared" si="70"/>
        <v>0</v>
      </c>
      <c r="AS153" s="124">
        <f t="shared" si="70"/>
        <v>0</v>
      </c>
      <c r="AT153" s="124">
        <f t="shared" si="70"/>
        <v>0</v>
      </c>
      <c r="AU153" s="124">
        <f t="shared" si="70"/>
        <v>0</v>
      </c>
      <c r="AV153" s="124">
        <f t="shared" si="70"/>
        <v>44532.6</v>
      </c>
      <c r="AW153" s="124">
        <f t="shared" si="70"/>
        <v>14061</v>
      </c>
      <c r="AX153" s="124">
        <f t="shared" si="70"/>
        <v>0</v>
      </c>
      <c r="AY153" s="124">
        <f t="shared" si="70"/>
        <v>0</v>
      </c>
      <c r="AZ153" s="124">
        <f t="shared" si="70"/>
        <v>0</v>
      </c>
      <c r="BA153" s="124">
        <f t="shared" si="70"/>
        <v>48888.38</v>
      </c>
      <c r="BB153" s="124">
        <f t="shared" si="70"/>
        <v>0</v>
      </c>
      <c r="BC153" s="124">
        <f t="shared" si="70"/>
        <v>0</v>
      </c>
      <c r="BD153" s="124">
        <f t="shared" si="70"/>
        <v>0</v>
      </c>
      <c r="BE153" s="124">
        <f t="shared" ref="BE153:BE163" si="71">SUM(F153:BD153)</f>
        <v>1174275.9000000001</v>
      </c>
      <c r="BF153" s="124">
        <f t="shared" ref="BF153:BF163" si="72">SUM(F153:X153)</f>
        <v>879012.25000000012</v>
      </c>
      <c r="BG153" s="124">
        <f t="shared" ref="BG153:BG163" si="73">SUM(Y153:AJ153)</f>
        <v>187781.66999999998</v>
      </c>
      <c r="BH153" s="124">
        <f t="shared" ref="BH153:BH163" si="74">SUM(AK153:BD153)</f>
        <v>107481.98</v>
      </c>
    </row>
    <row r="154" spans="3:60" ht="15" x14ac:dyDescent="0.25">
      <c r="D154" s="8">
        <v>2050</v>
      </c>
      <c r="E154" s="8" t="s">
        <v>409</v>
      </c>
      <c r="F154" s="13">
        <v>0</v>
      </c>
      <c r="G154" s="13">
        <v>0</v>
      </c>
      <c r="H154" s="13">
        <v>0</v>
      </c>
      <c r="I154" s="13">
        <v>0</v>
      </c>
      <c r="J154" s="13">
        <v>54229</v>
      </c>
      <c r="K154" s="13">
        <v>0</v>
      </c>
      <c r="L154" s="13">
        <v>25800</v>
      </c>
      <c r="M154" s="13">
        <v>596152.4</v>
      </c>
      <c r="N154" s="13">
        <v>0</v>
      </c>
      <c r="O154" s="13">
        <v>0</v>
      </c>
      <c r="P154" s="13">
        <v>84000</v>
      </c>
      <c r="Q154" s="13">
        <v>0</v>
      </c>
      <c r="R154" s="13">
        <v>0</v>
      </c>
      <c r="S154" s="13">
        <v>0</v>
      </c>
      <c r="T154" s="13">
        <v>0</v>
      </c>
      <c r="U154" s="13">
        <v>0</v>
      </c>
      <c r="V154" s="13">
        <v>0</v>
      </c>
      <c r="W154" s="13">
        <v>7660</v>
      </c>
      <c r="X154" s="13">
        <v>58000</v>
      </c>
      <c r="Y154" s="13">
        <v>0</v>
      </c>
      <c r="Z154" s="13">
        <v>93040</v>
      </c>
      <c r="AA154" s="13">
        <v>0</v>
      </c>
      <c r="AB154" s="13">
        <v>0</v>
      </c>
      <c r="AC154" s="13">
        <v>0</v>
      </c>
      <c r="AD154" s="13">
        <v>10741.67</v>
      </c>
      <c r="AE154" s="13">
        <v>0</v>
      </c>
      <c r="AF154" s="13">
        <v>0</v>
      </c>
      <c r="AG154" s="13">
        <v>0</v>
      </c>
      <c r="AH154" s="13">
        <v>84000</v>
      </c>
      <c r="AI154" s="13">
        <v>0</v>
      </c>
      <c r="AJ154" s="13">
        <v>0</v>
      </c>
      <c r="AK154" s="13">
        <v>0</v>
      </c>
      <c r="AL154" s="13">
        <v>0</v>
      </c>
      <c r="AM154" s="13">
        <v>0</v>
      </c>
      <c r="AN154" s="13">
        <v>0</v>
      </c>
      <c r="AO154" s="13">
        <v>0</v>
      </c>
      <c r="AP154" s="13">
        <v>0</v>
      </c>
      <c r="AQ154" s="13">
        <v>0</v>
      </c>
      <c r="AR154" s="13">
        <v>0</v>
      </c>
      <c r="AS154" s="13">
        <v>0</v>
      </c>
      <c r="AT154" s="13">
        <v>0</v>
      </c>
      <c r="AU154" s="13">
        <v>0</v>
      </c>
      <c r="AV154" s="13">
        <v>44532.6</v>
      </c>
      <c r="AW154" s="13">
        <v>14061</v>
      </c>
      <c r="AX154" s="13">
        <v>0</v>
      </c>
      <c r="AY154" s="13">
        <v>0</v>
      </c>
      <c r="AZ154" s="13">
        <v>0</v>
      </c>
      <c r="BA154" s="13">
        <v>0</v>
      </c>
      <c r="BB154" s="13">
        <v>0</v>
      </c>
      <c r="BC154" s="13">
        <v>0</v>
      </c>
      <c r="BD154" s="13">
        <v>0</v>
      </c>
      <c r="BE154" s="95">
        <f t="shared" si="71"/>
        <v>1072216.6700000002</v>
      </c>
      <c r="BF154" s="95">
        <f t="shared" si="72"/>
        <v>825841.4</v>
      </c>
      <c r="BG154" s="95">
        <f t="shared" si="73"/>
        <v>187781.66999999998</v>
      </c>
      <c r="BH154" s="95">
        <f t="shared" si="74"/>
        <v>58593.599999999999</v>
      </c>
    </row>
    <row r="155" spans="3:6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95">
        <f t="shared" si="71"/>
        <v>0</v>
      </c>
      <c r="BF155" s="95">
        <f t="shared" si="72"/>
        <v>0</v>
      </c>
      <c r="BG155" s="95">
        <f t="shared" si="73"/>
        <v>0</v>
      </c>
      <c r="BH155" s="95">
        <f t="shared" si="74"/>
        <v>0</v>
      </c>
    </row>
    <row r="156" spans="3:6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10000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95">
        <f t="shared" si="71"/>
        <v>10000</v>
      </c>
      <c r="BF156" s="95">
        <f t="shared" si="72"/>
        <v>10000</v>
      </c>
      <c r="BG156" s="95">
        <f t="shared" si="73"/>
        <v>0</v>
      </c>
      <c r="BH156" s="95">
        <f t="shared" si="74"/>
        <v>0</v>
      </c>
    </row>
    <row r="157" spans="3:6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0</v>
      </c>
      <c r="AX157" s="13">
        <v>0</v>
      </c>
      <c r="AY157" s="13">
        <v>0</v>
      </c>
      <c r="AZ157" s="13">
        <v>0</v>
      </c>
      <c r="BA157" s="13">
        <v>0</v>
      </c>
      <c r="BB157" s="13">
        <v>0</v>
      </c>
      <c r="BC157" s="13">
        <v>0</v>
      </c>
      <c r="BD157" s="13">
        <v>0</v>
      </c>
      <c r="BE157" s="95">
        <f t="shared" si="71"/>
        <v>0</v>
      </c>
      <c r="BF157" s="95">
        <f t="shared" si="72"/>
        <v>0</v>
      </c>
      <c r="BG157" s="95">
        <f t="shared" si="73"/>
        <v>0</v>
      </c>
      <c r="BH157" s="95">
        <f t="shared" si="74"/>
        <v>0</v>
      </c>
    </row>
    <row r="158" spans="3:60" ht="15" x14ac:dyDescent="0.25">
      <c r="D158" s="8">
        <v>2054</v>
      </c>
      <c r="E158" s="8" t="s">
        <v>413</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95">
        <f t="shared" si="71"/>
        <v>495.6</v>
      </c>
      <c r="BF158" s="95">
        <f t="shared" si="72"/>
        <v>495.6</v>
      </c>
      <c r="BG158" s="95">
        <f t="shared" si="73"/>
        <v>0</v>
      </c>
      <c r="BH158" s="95">
        <f t="shared" si="74"/>
        <v>0</v>
      </c>
    </row>
    <row r="159" spans="3:60"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0</v>
      </c>
      <c r="AX159" s="13">
        <v>0</v>
      </c>
      <c r="AY159" s="13">
        <v>0</v>
      </c>
      <c r="AZ159" s="13">
        <v>0</v>
      </c>
      <c r="BA159" s="13">
        <v>48888.38</v>
      </c>
      <c r="BB159" s="13">
        <v>0</v>
      </c>
      <c r="BC159" s="13">
        <v>0</v>
      </c>
      <c r="BD159" s="13">
        <v>0</v>
      </c>
      <c r="BE159" s="95">
        <f t="shared" si="71"/>
        <v>48888.38</v>
      </c>
      <c r="BF159" s="95">
        <f t="shared" si="72"/>
        <v>0</v>
      </c>
      <c r="BG159" s="95">
        <f t="shared" si="73"/>
        <v>0</v>
      </c>
      <c r="BH159" s="95">
        <f t="shared" si="74"/>
        <v>48888.38</v>
      </c>
    </row>
    <row r="160" spans="3:6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95">
        <f t="shared" si="71"/>
        <v>0</v>
      </c>
      <c r="BF160" s="95">
        <f t="shared" si="72"/>
        <v>0</v>
      </c>
      <c r="BG160" s="95">
        <f t="shared" si="73"/>
        <v>0</v>
      </c>
      <c r="BH160" s="95">
        <f t="shared" si="74"/>
        <v>0</v>
      </c>
    </row>
    <row r="161" spans="3:6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95">
        <f t="shared" si="71"/>
        <v>0</v>
      </c>
      <c r="BF161" s="95">
        <f t="shared" si="72"/>
        <v>0</v>
      </c>
      <c r="BG161" s="95">
        <f t="shared" si="73"/>
        <v>0</v>
      </c>
      <c r="BH161" s="95">
        <f t="shared" si="74"/>
        <v>0</v>
      </c>
    </row>
    <row r="162" spans="3:6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95">
        <f t="shared" si="71"/>
        <v>0</v>
      </c>
      <c r="BF162" s="95">
        <f t="shared" si="72"/>
        <v>0</v>
      </c>
      <c r="BG162" s="95">
        <f t="shared" si="73"/>
        <v>0</v>
      </c>
      <c r="BH162" s="95">
        <f t="shared" si="74"/>
        <v>0</v>
      </c>
    </row>
    <row r="163" spans="3:60" ht="15" x14ac:dyDescent="0.25">
      <c r="D163" s="8">
        <v>2059</v>
      </c>
      <c r="E163" s="8" t="s">
        <v>418</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35597.15</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95">
        <f t="shared" si="71"/>
        <v>42675.25</v>
      </c>
      <c r="BF163" s="95">
        <f t="shared" si="72"/>
        <v>42675.25</v>
      </c>
      <c r="BG163" s="95">
        <f t="shared" si="73"/>
        <v>0</v>
      </c>
      <c r="BH163" s="95">
        <f t="shared" si="74"/>
        <v>0</v>
      </c>
    </row>
    <row r="164" spans="3:60"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95"/>
      <c r="BF164" s="95"/>
      <c r="BG164" s="95"/>
      <c r="BH164" s="95"/>
    </row>
    <row r="165" spans="3:60" ht="15" x14ac:dyDescent="0.25">
      <c r="C165" s="123">
        <v>206</v>
      </c>
      <c r="D165" s="123"/>
      <c r="E165" s="123" t="s">
        <v>253</v>
      </c>
      <c r="F165" s="124">
        <f>F166+F167+F168+F169+F170+F171</f>
        <v>7510551.21</v>
      </c>
      <c r="G165" s="124">
        <f t="shared" ref="G165:BD165" si="75">G166+G167+G168+G169+G170+G171</f>
        <v>1851799.6</v>
      </c>
      <c r="H165" s="124">
        <f t="shared" si="75"/>
        <v>4920200</v>
      </c>
      <c r="I165" s="124">
        <f t="shared" si="75"/>
        <v>3492259.81</v>
      </c>
      <c r="J165" s="124">
        <f t="shared" si="75"/>
        <v>19132837.5</v>
      </c>
      <c r="K165" s="124">
        <f t="shared" si="75"/>
        <v>10914450</v>
      </c>
      <c r="L165" s="124">
        <f t="shared" si="75"/>
        <v>9621376.1999999993</v>
      </c>
      <c r="M165" s="124">
        <f t="shared" si="75"/>
        <v>131323275.34999999</v>
      </c>
      <c r="N165" s="124">
        <f t="shared" si="75"/>
        <v>3879800</v>
      </c>
      <c r="O165" s="124">
        <f t="shared" si="75"/>
        <v>714480.9</v>
      </c>
      <c r="P165" s="124">
        <f t="shared" si="75"/>
        <v>27794830.149999999</v>
      </c>
      <c r="Q165" s="124">
        <f t="shared" si="75"/>
        <v>2331870.35</v>
      </c>
      <c r="R165" s="124">
        <f t="shared" si="75"/>
        <v>339150</v>
      </c>
      <c r="S165" s="124">
        <f t="shared" si="75"/>
        <v>2494299.85</v>
      </c>
      <c r="T165" s="124">
        <f t="shared" si="75"/>
        <v>1470500</v>
      </c>
      <c r="U165" s="124">
        <f t="shared" si="75"/>
        <v>4248500</v>
      </c>
      <c r="V165" s="124">
        <f t="shared" si="75"/>
        <v>717950</v>
      </c>
      <c r="W165" s="124">
        <f t="shared" si="75"/>
        <v>3081197.16</v>
      </c>
      <c r="X165" s="124">
        <f t="shared" si="75"/>
        <v>11585480</v>
      </c>
      <c r="Y165" s="124">
        <f t="shared" si="75"/>
        <v>387206.2</v>
      </c>
      <c r="Z165" s="124">
        <f t="shared" si="75"/>
        <v>6855600</v>
      </c>
      <c r="AA165" s="124">
        <f t="shared" si="75"/>
        <v>566000</v>
      </c>
      <c r="AB165" s="124">
        <f t="shared" si="75"/>
        <v>750000</v>
      </c>
      <c r="AC165" s="124">
        <f t="shared" si="75"/>
        <v>3420125</v>
      </c>
      <c r="AD165" s="124">
        <f t="shared" si="75"/>
        <v>5632900</v>
      </c>
      <c r="AE165" s="124">
        <f t="shared" si="75"/>
        <v>3355700</v>
      </c>
      <c r="AF165" s="124">
        <f t="shared" si="75"/>
        <v>120000</v>
      </c>
      <c r="AG165" s="124">
        <f t="shared" si="75"/>
        <v>3841400</v>
      </c>
      <c r="AH165" s="124">
        <f t="shared" si="75"/>
        <v>11860595.15</v>
      </c>
      <c r="AI165" s="124">
        <f t="shared" si="75"/>
        <v>923842.26</v>
      </c>
      <c r="AJ165" s="124">
        <f t="shared" si="75"/>
        <v>626830</v>
      </c>
      <c r="AK165" s="124">
        <f t="shared" si="75"/>
        <v>15858820</v>
      </c>
      <c r="AL165" s="124">
        <f t="shared" si="75"/>
        <v>7260650</v>
      </c>
      <c r="AM165" s="124">
        <f t="shared" si="75"/>
        <v>10478627.85</v>
      </c>
      <c r="AN165" s="124">
        <f t="shared" si="75"/>
        <v>1363570</v>
      </c>
      <c r="AO165" s="124">
        <f t="shared" si="75"/>
        <v>7923800</v>
      </c>
      <c r="AP165" s="124">
        <f t="shared" si="75"/>
        <v>4552450</v>
      </c>
      <c r="AQ165" s="124">
        <f t="shared" si="75"/>
        <v>4079235</v>
      </c>
      <c r="AR165" s="124">
        <f t="shared" si="75"/>
        <v>9438240.8800000008</v>
      </c>
      <c r="AS165" s="124">
        <f t="shared" si="75"/>
        <v>4689018.5999999996</v>
      </c>
      <c r="AT165" s="124">
        <f t="shared" si="75"/>
        <v>8848577.5</v>
      </c>
      <c r="AU165" s="124">
        <f t="shared" si="75"/>
        <v>1568065</v>
      </c>
      <c r="AV165" s="124">
        <f t="shared" si="75"/>
        <v>14611300</v>
      </c>
      <c r="AW165" s="124">
        <f t="shared" si="75"/>
        <v>5418942</v>
      </c>
      <c r="AX165" s="124">
        <f t="shared" si="75"/>
        <v>656850</v>
      </c>
      <c r="AY165" s="124">
        <f t="shared" si="75"/>
        <v>1689820</v>
      </c>
      <c r="AZ165" s="124">
        <f t="shared" si="75"/>
        <v>16384012</v>
      </c>
      <c r="BA165" s="124">
        <f t="shared" si="75"/>
        <v>1762350</v>
      </c>
      <c r="BB165" s="124">
        <f t="shared" si="75"/>
        <v>7168940</v>
      </c>
      <c r="BC165" s="124">
        <f t="shared" si="75"/>
        <v>58435785.399999999</v>
      </c>
      <c r="BD165" s="124">
        <f t="shared" si="75"/>
        <v>3741973.15</v>
      </c>
      <c r="BE165" s="124">
        <f t="shared" ref="BE165:BE171" si="76">SUM(F165:BD165)</f>
        <v>471696034.06999993</v>
      </c>
      <c r="BF165" s="124">
        <f t="shared" ref="BF165:BF171" si="77">SUM(F165:X165)</f>
        <v>247424808.08000001</v>
      </c>
      <c r="BG165" s="124">
        <f t="shared" ref="BG165:BG171" si="78">SUM(Y165:AJ165)</f>
        <v>38340198.609999999</v>
      </c>
      <c r="BH165" s="124">
        <f t="shared" ref="BH165:BH171" si="79">SUM(AK165:BD165)</f>
        <v>185931027.38000003</v>
      </c>
    </row>
    <row r="166" spans="3:60" ht="15" x14ac:dyDescent="0.25">
      <c r="D166" s="8">
        <v>2060</v>
      </c>
      <c r="E166" s="8" t="s">
        <v>419</v>
      </c>
      <c r="F166" s="13">
        <v>0</v>
      </c>
      <c r="G166" s="13">
        <v>522800</v>
      </c>
      <c r="H166" s="13">
        <v>4913200</v>
      </c>
      <c r="I166" s="13">
        <v>0</v>
      </c>
      <c r="J166" s="13">
        <v>0</v>
      </c>
      <c r="K166" s="13">
        <v>0</v>
      </c>
      <c r="L166" s="13">
        <v>0</v>
      </c>
      <c r="M166" s="13">
        <v>0</v>
      </c>
      <c r="N166" s="13">
        <v>0</v>
      </c>
      <c r="O166" s="13">
        <v>0</v>
      </c>
      <c r="P166" s="13">
        <v>0</v>
      </c>
      <c r="Q166" s="13">
        <v>0</v>
      </c>
      <c r="R166" s="13">
        <v>0</v>
      </c>
      <c r="S166" s="13">
        <v>0</v>
      </c>
      <c r="T166" s="13">
        <v>0</v>
      </c>
      <c r="U166" s="13">
        <v>87500</v>
      </c>
      <c r="V166" s="13">
        <v>0</v>
      </c>
      <c r="W166" s="13">
        <v>0</v>
      </c>
      <c r="X166" s="13">
        <v>0</v>
      </c>
      <c r="Y166" s="13">
        <v>0</v>
      </c>
      <c r="Z166" s="13">
        <v>0</v>
      </c>
      <c r="AA166" s="13">
        <v>0</v>
      </c>
      <c r="AB166" s="13">
        <v>0</v>
      </c>
      <c r="AC166" s="13">
        <v>3486855</v>
      </c>
      <c r="AD166" s="13">
        <v>0</v>
      </c>
      <c r="AE166" s="13">
        <v>0</v>
      </c>
      <c r="AF166" s="13">
        <v>0</v>
      </c>
      <c r="AG166" s="13">
        <v>0</v>
      </c>
      <c r="AH166" s="13">
        <v>14093474.15</v>
      </c>
      <c r="AI166" s="13">
        <v>27290</v>
      </c>
      <c r="AJ166" s="13">
        <v>0</v>
      </c>
      <c r="AK166" s="13">
        <v>0</v>
      </c>
      <c r="AL166" s="13">
        <v>6734100</v>
      </c>
      <c r="AM166" s="13">
        <v>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95">
        <f t="shared" si="76"/>
        <v>29865219.149999999</v>
      </c>
      <c r="BF166" s="95">
        <f t="shared" si="77"/>
        <v>5523500</v>
      </c>
      <c r="BG166" s="95">
        <f t="shared" si="78"/>
        <v>17607619.149999999</v>
      </c>
      <c r="BH166" s="95">
        <f t="shared" si="79"/>
        <v>6734100</v>
      </c>
    </row>
    <row r="167" spans="3:6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95">
        <f t="shared" si="76"/>
        <v>0</v>
      </c>
      <c r="BF167" s="95">
        <f t="shared" si="77"/>
        <v>0</v>
      </c>
      <c r="BG167" s="95">
        <f t="shared" si="78"/>
        <v>0</v>
      </c>
      <c r="BH167" s="95">
        <f t="shared" si="79"/>
        <v>0</v>
      </c>
    </row>
    <row r="168" spans="3:60" ht="15" x14ac:dyDescent="0.25">
      <c r="D168" s="8">
        <v>2063</v>
      </c>
      <c r="E168" s="8" t="s">
        <v>421</v>
      </c>
      <c r="F168" s="13">
        <v>0</v>
      </c>
      <c r="G168" s="13">
        <v>1272799.6000000001</v>
      </c>
      <c r="H168" s="13">
        <v>7000</v>
      </c>
      <c r="I168" s="13">
        <v>3267425.41</v>
      </c>
      <c r="J168" s="13">
        <v>19132837.5</v>
      </c>
      <c r="K168" s="13">
        <v>10430500</v>
      </c>
      <c r="L168" s="13">
        <v>9418873.6999999993</v>
      </c>
      <c r="M168" s="13">
        <v>0</v>
      </c>
      <c r="N168" s="13">
        <v>3797000</v>
      </c>
      <c r="O168" s="13">
        <v>0</v>
      </c>
      <c r="P168" s="13">
        <v>0</v>
      </c>
      <c r="Q168" s="13">
        <v>0</v>
      </c>
      <c r="R168" s="13">
        <v>0</v>
      </c>
      <c r="S168" s="13">
        <v>2363049.85</v>
      </c>
      <c r="T168" s="13">
        <v>0</v>
      </c>
      <c r="U168" s="13">
        <v>4161000</v>
      </c>
      <c r="V168" s="13">
        <v>717950</v>
      </c>
      <c r="W168" s="13">
        <v>197875</v>
      </c>
      <c r="X168" s="13">
        <v>10966100</v>
      </c>
      <c r="Y168" s="13">
        <v>387206.2</v>
      </c>
      <c r="Z168" s="13">
        <v>6855600</v>
      </c>
      <c r="AA168" s="13">
        <v>566000</v>
      </c>
      <c r="AB168" s="13">
        <v>750000</v>
      </c>
      <c r="AC168" s="13">
        <v>41810</v>
      </c>
      <c r="AD168" s="13">
        <v>5512400</v>
      </c>
      <c r="AE168" s="13">
        <v>3480200</v>
      </c>
      <c r="AF168" s="13">
        <v>0</v>
      </c>
      <c r="AG168" s="13">
        <v>3841400</v>
      </c>
      <c r="AH168" s="13">
        <v>-2232879</v>
      </c>
      <c r="AI168" s="13">
        <v>973379.26</v>
      </c>
      <c r="AJ168" s="13">
        <v>626830</v>
      </c>
      <c r="AK168" s="13">
        <v>15775820</v>
      </c>
      <c r="AL168" s="13">
        <v>526550</v>
      </c>
      <c r="AM168" s="13">
        <v>10311847.85</v>
      </c>
      <c r="AN168" s="13">
        <v>1363570</v>
      </c>
      <c r="AO168" s="13">
        <v>7923800</v>
      </c>
      <c r="AP168" s="13">
        <v>4514950</v>
      </c>
      <c r="AQ168" s="13">
        <v>4784415</v>
      </c>
      <c r="AR168" s="13">
        <v>9231140.8800000008</v>
      </c>
      <c r="AS168" s="13">
        <v>4777048.5999999996</v>
      </c>
      <c r="AT168" s="13">
        <v>9112550</v>
      </c>
      <c r="AU168" s="13">
        <v>1568065</v>
      </c>
      <c r="AV168" s="13">
        <v>14439200</v>
      </c>
      <c r="AW168" s="13">
        <v>39600</v>
      </c>
      <c r="AX168" s="13">
        <v>656850</v>
      </c>
      <c r="AY168" s="13">
        <v>1664620</v>
      </c>
      <c r="AZ168" s="13">
        <v>28400</v>
      </c>
      <c r="BA168" s="13">
        <v>1753350</v>
      </c>
      <c r="BB168" s="13">
        <v>8239900</v>
      </c>
      <c r="BC168" s="13">
        <v>68032500</v>
      </c>
      <c r="BD168" s="13">
        <v>3741973.15</v>
      </c>
      <c r="BE168" s="95">
        <f t="shared" si="76"/>
        <v>255020508</v>
      </c>
      <c r="BF168" s="95">
        <f t="shared" si="77"/>
        <v>65732411.059999995</v>
      </c>
      <c r="BG168" s="95">
        <f t="shared" si="78"/>
        <v>20801946.460000001</v>
      </c>
      <c r="BH168" s="95">
        <f t="shared" si="79"/>
        <v>168486150.48000002</v>
      </c>
    </row>
    <row r="169" spans="3:60" ht="15" x14ac:dyDescent="0.25">
      <c r="D169" s="8">
        <v>2064</v>
      </c>
      <c r="E169" s="8" t="s">
        <v>442</v>
      </c>
      <c r="F169" s="13">
        <v>7510551.21</v>
      </c>
      <c r="G169" s="13">
        <v>56200</v>
      </c>
      <c r="H169" s="13">
        <v>0</v>
      </c>
      <c r="I169" s="13">
        <v>224834.4</v>
      </c>
      <c r="J169" s="13">
        <v>0</v>
      </c>
      <c r="K169" s="13">
        <v>483950</v>
      </c>
      <c r="L169" s="13">
        <v>202502.5</v>
      </c>
      <c r="M169" s="13">
        <v>131323275.34999999</v>
      </c>
      <c r="N169" s="13">
        <v>82800</v>
      </c>
      <c r="O169" s="13">
        <v>714480.9</v>
      </c>
      <c r="P169" s="13">
        <v>27794830.149999999</v>
      </c>
      <c r="Q169" s="13">
        <v>2331870.35</v>
      </c>
      <c r="R169" s="13">
        <v>339150</v>
      </c>
      <c r="S169" s="13">
        <v>131250</v>
      </c>
      <c r="T169" s="13">
        <v>1470500</v>
      </c>
      <c r="U169" s="13">
        <v>0</v>
      </c>
      <c r="V169" s="13">
        <v>0</v>
      </c>
      <c r="W169" s="13">
        <v>3025516.06</v>
      </c>
      <c r="X169" s="13">
        <v>619380</v>
      </c>
      <c r="Y169" s="13">
        <v>0</v>
      </c>
      <c r="Z169" s="13">
        <v>0</v>
      </c>
      <c r="AA169" s="13">
        <v>0</v>
      </c>
      <c r="AB169" s="13">
        <v>0</v>
      </c>
      <c r="AC169" s="13">
        <v>0</v>
      </c>
      <c r="AD169" s="13">
        <v>120500</v>
      </c>
      <c r="AE169" s="13">
        <v>0</v>
      </c>
      <c r="AF169" s="13">
        <v>242334</v>
      </c>
      <c r="AG169" s="13">
        <v>0</v>
      </c>
      <c r="AH169" s="13">
        <v>0</v>
      </c>
      <c r="AI169" s="13">
        <v>0</v>
      </c>
      <c r="AJ169" s="13">
        <v>0</v>
      </c>
      <c r="AK169" s="13">
        <v>80000</v>
      </c>
      <c r="AL169" s="13">
        <v>0</v>
      </c>
      <c r="AM169" s="13">
        <v>166780</v>
      </c>
      <c r="AN169" s="13">
        <v>0</v>
      </c>
      <c r="AO169" s="13">
        <v>0</v>
      </c>
      <c r="AP169" s="13">
        <v>37500</v>
      </c>
      <c r="AQ169" s="13">
        <v>0</v>
      </c>
      <c r="AR169" s="13">
        <v>207100</v>
      </c>
      <c r="AS169" s="13">
        <v>-88030</v>
      </c>
      <c r="AT169" s="13">
        <v>37747.5</v>
      </c>
      <c r="AU169" s="13">
        <v>0</v>
      </c>
      <c r="AV169" s="13">
        <v>172100</v>
      </c>
      <c r="AW169" s="13">
        <v>5526642</v>
      </c>
      <c r="AX169" s="13">
        <v>0</v>
      </c>
      <c r="AY169" s="13">
        <v>25200</v>
      </c>
      <c r="AZ169" s="13">
        <v>17017022</v>
      </c>
      <c r="BA169" s="13">
        <v>9000</v>
      </c>
      <c r="BB169" s="13">
        <v>104300</v>
      </c>
      <c r="BC169" s="13">
        <v>-9739378</v>
      </c>
      <c r="BD169" s="13">
        <v>0</v>
      </c>
      <c r="BE169" s="95">
        <f t="shared" si="76"/>
        <v>190229908.41999999</v>
      </c>
      <c r="BF169" s="95">
        <f t="shared" si="77"/>
        <v>176311090.91999999</v>
      </c>
      <c r="BG169" s="95">
        <f t="shared" si="78"/>
        <v>362834</v>
      </c>
      <c r="BH169" s="95">
        <f t="shared" si="79"/>
        <v>13555983.5</v>
      </c>
    </row>
    <row r="170" spans="3:6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142663.4</v>
      </c>
      <c r="BD170" s="13">
        <v>0</v>
      </c>
      <c r="BE170" s="95">
        <f t="shared" si="76"/>
        <v>142663.4</v>
      </c>
      <c r="BF170" s="95">
        <f t="shared" si="77"/>
        <v>0</v>
      </c>
      <c r="BG170" s="95">
        <f t="shared" si="78"/>
        <v>0</v>
      </c>
      <c r="BH170" s="95">
        <f t="shared" si="79"/>
        <v>142663.4</v>
      </c>
    </row>
    <row r="171" spans="3:60" ht="15" x14ac:dyDescent="0.25">
      <c r="D171" s="8">
        <v>2069</v>
      </c>
      <c r="E171" s="8" t="s">
        <v>424</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0</v>
      </c>
      <c r="W171" s="13">
        <v>-142193.9</v>
      </c>
      <c r="X171" s="13">
        <v>0</v>
      </c>
      <c r="Y171" s="13">
        <v>0</v>
      </c>
      <c r="Z171" s="13">
        <v>0</v>
      </c>
      <c r="AA171" s="13">
        <v>0</v>
      </c>
      <c r="AB171" s="13">
        <v>0</v>
      </c>
      <c r="AC171" s="13">
        <v>-108540</v>
      </c>
      <c r="AD171" s="13">
        <v>0</v>
      </c>
      <c r="AE171" s="13">
        <v>-124500</v>
      </c>
      <c r="AF171" s="13">
        <v>-122334</v>
      </c>
      <c r="AG171" s="13">
        <v>0</v>
      </c>
      <c r="AH171" s="13">
        <v>0</v>
      </c>
      <c r="AI171" s="13">
        <v>-76827</v>
      </c>
      <c r="AJ171" s="13">
        <v>0</v>
      </c>
      <c r="AK171" s="13">
        <v>3000</v>
      </c>
      <c r="AL171" s="13">
        <v>0</v>
      </c>
      <c r="AM171" s="13">
        <v>0</v>
      </c>
      <c r="AN171" s="13">
        <v>0</v>
      </c>
      <c r="AO171" s="13">
        <v>0</v>
      </c>
      <c r="AP171" s="13">
        <v>0</v>
      </c>
      <c r="AQ171" s="13">
        <v>-705180</v>
      </c>
      <c r="AR171" s="13">
        <v>0</v>
      </c>
      <c r="AS171" s="13">
        <v>0</v>
      </c>
      <c r="AT171" s="13">
        <v>-301720</v>
      </c>
      <c r="AU171" s="13">
        <v>0</v>
      </c>
      <c r="AV171" s="13">
        <v>0</v>
      </c>
      <c r="AW171" s="13">
        <v>-147300</v>
      </c>
      <c r="AX171" s="13">
        <v>0</v>
      </c>
      <c r="AY171" s="13">
        <v>0</v>
      </c>
      <c r="AZ171" s="13">
        <v>-661410</v>
      </c>
      <c r="BA171" s="13">
        <v>0</v>
      </c>
      <c r="BB171" s="13">
        <v>-1175260</v>
      </c>
      <c r="BC171" s="13">
        <v>0</v>
      </c>
      <c r="BD171" s="13">
        <v>0</v>
      </c>
      <c r="BE171" s="95">
        <f t="shared" si="76"/>
        <v>-3562264.9</v>
      </c>
      <c r="BF171" s="95">
        <f t="shared" si="77"/>
        <v>-142193.9</v>
      </c>
      <c r="BG171" s="95">
        <f t="shared" si="78"/>
        <v>-432201</v>
      </c>
      <c r="BH171" s="95">
        <f t="shared" si="79"/>
        <v>-2987870</v>
      </c>
    </row>
    <row r="172" spans="3:60"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95"/>
      <c r="BF172" s="95"/>
      <c r="BG172" s="95"/>
      <c r="BH172" s="95"/>
    </row>
    <row r="173" spans="3:60" ht="15" x14ac:dyDescent="0.25">
      <c r="C173" s="123">
        <v>208</v>
      </c>
      <c r="D173" s="123"/>
      <c r="E173" s="123" t="s">
        <v>254</v>
      </c>
      <c r="F173" s="124">
        <f>F174+F175+F176+F177+F178+F179+F180+F181+F182</f>
        <v>0</v>
      </c>
      <c r="G173" s="124">
        <f t="shared" ref="G173:BD173" si="80">G174+G175+G176+G177+G178+G179+G180+G181+G182</f>
        <v>0</v>
      </c>
      <c r="H173" s="124">
        <f t="shared" si="80"/>
        <v>0</v>
      </c>
      <c r="I173" s="124">
        <f t="shared" si="80"/>
        <v>0</v>
      </c>
      <c r="J173" s="124">
        <f t="shared" si="80"/>
        <v>92366.45</v>
      </c>
      <c r="K173" s="124">
        <f t="shared" si="80"/>
        <v>52450</v>
      </c>
      <c r="L173" s="124">
        <f t="shared" si="80"/>
        <v>0</v>
      </c>
      <c r="M173" s="124">
        <f t="shared" si="80"/>
        <v>0</v>
      </c>
      <c r="N173" s="124">
        <f t="shared" si="80"/>
        <v>0</v>
      </c>
      <c r="O173" s="124">
        <f t="shared" si="80"/>
        <v>0</v>
      </c>
      <c r="P173" s="124">
        <f t="shared" si="80"/>
        <v>26764.85</v>
      </c>
      <c r="Q173" s="124">
        <f t="shared" si="80"/>
        <v>0</v>
      </c>
      <c r="R173" s="124">
        <f t="shared" si="80"/>
        <v>0</v>
      </c>
      <c r="S173" s="124">
        <f t="shared" si="80"/>
        <v>0</v>
      </c>
      <c r="T173" s="124">
        <f t="shared" si="80"/>
        <v>0</v>
      </c>
      <c r="U173" s="124">
        <f t="shared" si="80"/>
        <v>96173.55</v>
      </c>
      <c r="V173" s="124">
        <f t="shared" si="80"/>
        <v>10691.47</v>
      </c>
      <c r="W173" s="124">
        <f t="shared" si="80"/>
        <v>0</v>
      </c>
      <c r="X173" s="124">
        <f t="shared" si="80"/>
        <v>0</v>
      </c>
      <c r="Y173" s="124">
        <f t="shared" si="80"/>
        <v>0</v>
      </c>
      <c r="Z173" s="124">
        <f t="shared" si="80"/>
        <v>0</v>
      </c>
      <c r="AA173" s="124">
        <f t="shared" si="80"/>
        <v>8000000</v>
      </c>
      <c r="AB173" s="124">
        <f t="shared" si="80"/>
        <v>0</v>
      </c>
      <c r="AC173" s="124">
        <f t="shared" si="80"/>
        <v>0</v>
      </c>
      <c r="AD173" s="124">
        <f t="shared" si="80"/>
        <v>0</v>
      </c>
      <c r="AE173" s="124">
        <f t="shared" si="80"/>
        <v>0</v>
      </c>
      <c r="AF173" s="124">
        <f t="shared" si="80"/>
        <v>0</v>
      </c>
      <c r="AG173" s="124">
        <f t="shared" si="80"/>
        <v>0</v>
      </c>
      <c r="AH173" s="124">
        <f t="shared" si="80"/>
        <v>203366.75</v>
      </c>
      <c r="AI173" s="124">
        <f t="shared" si="80"/>
        <v>0</v>
      </c>
      <c r="AJ173" s="124">
        <f t="shared" si="80"/>
        <v>0</v>
      </c>
      <c r="AK173" s="124">
        <f t="shared" si="80"/>
        <v>0</v>
      </c>
      <c r="AL173" s="124">
        <f t="shared" si="80"/>
        <v>0</v>
      </c>
      <c r="AM173" s="124">
        <f t="shared" si="80"/>
        <v>0</v>
      </c>
      <c r="AN173" s="124">
        <f t="shared" si="80"/>
        <v>0</v>
      </c>
      <c r="AO173" s="124">
        <f t="shared" si="80"/>
        <v>0</v>
      </c>
      <c r="AP173" s="124">
        <f t="shared" si="80"/>
        <v>0</v>
      </c>
      <c r="AQ173" s="124">
        <f t="shared" si="80"/>
        <v>0</v>
      </c>
      <c r="AR173" s="124">
        <f t="shared" si="80"/>
        <v>0</v>
      </c>
      <c r="AS173" s="124">
        <f t="shared" si="80"/>
        <v>0</v>
      </c>
      <c r="AT173" s="124">
        <f t="shared" si="80"/>
        <v>0</v>
      </c>
      <c r="AU173" s="124">
        <f t="shared" si="80"/>
        <v>0</v>
      </c>
      <c r="AV173" s="124">
        <f t="shared" si="80"/>
        <v>0</v>
      </c>
      <c r="AW173" s="124">
        <f t="shared" si="80"/>
        <v>0</v>
      </c>
      <c r="AX173" s="124">
        <f t="shared" si="80"/>
        <v>0</v>
      </c>
      <c r="AY173" s="124">
        <f t="shared" si="80"/>
        <v>0</v>
      </c>
      <c r="AZ173" s="124">
        <f t="shared" si="80"/>
        <v>0</v>
      </c>
      <c r="BA173" s="124">
        <f t="shared" si="80"/>
        <v>0</v>
      </c>
      <c r="BB173" s="124">
        <f t="shared" si="80"/>
        <v>165000</v>
      </c>
      <c r="BC173" s="124">
        <f t="shared" si="80"/>
        <v>0</v>
      </c>
      <c r="BD173" s="124">
        <f t="shared" si="80"/>
        <v>0</v>
      </c>
      <c r="BE173" s="124">
        <f t="shared" ref="BE173:BE182" si="81">SUM(F173:BD173)</f>
        <v>8646813.0700000003</v>
      </c>
      <c r="BF173" s="124">
        <f t="shared" ref="BF173:BF182" si="82">SUM(F173:X173)</f>
        <v>278446.32</v>
      </c>
      <c r="BG173" s="124">
        <f t="shared" ref="BG173:BG182" si="83">SUM(Y173:AJ173)</f>
        <v>8203366.75</v>
      </c>
      <c r="BH173" s="124">
        <f t="shared" ref="BH173:BH182" si="84">SUM(AK173:BD173)</f>
        <v>165000</v>
      </c>
    </row>
    <row r="174" spans="3:6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95">
        <f t="shared" si="81"/>
        <v>0</v>
      </c>
      <c r="BF174" s="95">
        <f t="shared" si="82"/>
        <v>0</v>
      </c>
      <c r="BG174" s="95">
        <f t="shared" si="83"/>
        <v>0</v>
      </c>
      <c r="BH174" s="95">
        <f t="shared" si="84"/>
        <v>0</v>
      </c>
    </row>
    <row r="175" spans="3:6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95">
        <f t="shared" si="81"/>
        <v>0</v>
      </c>
      <c r="BF175" s="95">
        <f t="shared" si="82"/>
        <v>0</v>
      </c>
      <c r="BG175" s="95">
        <f t="shared" si="83"/>
        <v>0</v>
      </c>
      <c r="BH175" s="95">
        <f t="shared" si="84"/>
        <v>0</v>
      </c>
    </row>
    <row r="176" spans="3:6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95">
        <f t="shared" si="81"/>
        <v>10691.47</v>
      </c>
      <c r="BF176" s="95">
        <f t="shared" si="82"/>
        <v>10691.47</v>
      </c>
      <c r="BG176" s="95">
        <f t="shared" si="83"/>
        <v>0</v>
      </c>
      <c r="BH176" s="95">
        <f t="shared" si="84"/>
        <v>0</v>
      </c>
    </row>
    <row r="177" spans="2:60"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95">
        <f t="shared" si="81"/>
        <v>0</v>
      </c>
      <c r="BF177" s="95">
        <f t="shared" si="82"/>
        <v>0</v>
      </c>
      <c r="BG177" s="95">
        <f t="shared" si="83"/>
        <v>0</v>
      </c>
      <c r="BH177" s="95">
        <f t="shared" si="84"/>
        <v>0</v>
      </c>
    </row>
    <row r="178" spans="2:60" ht="15" x14ac:dyDescent="0.25">
      <c r="D178" s="8">
        <v>2085</v>
      </c>
      <c r="E178" s="8" t="s">
        <v>430</v>
      </c>
      <c r="F178" s="13">
        <v>0</v>
      </c>
      <c r="G178" s="13">
        <v>0</v>
      </c>
      <c r="H178" s="13">
        <v>0</v>
      </c>
      <c r="I178" s="13">
        <v>0</v>
      </c>
      <c r="J178" s="13">
        <v>0</v>
      </c>
      <c r="K178" s="13">
        <v>52450</v>
      </c>
      <c r="L178" s="13">
        <v>0</v>
      </c>
      <c r="M178" s="13">
        <v>0</v>
      </c>
      <c r="N178" s="13">
        <v>0</v>
      </c>
      <c r="O178" s="13">
        <v>0</v>
      </c>
      <c r="P178" s="13">
        <v>26764.85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203366.75</v>
      </c>
      <c r="AI178" s="13">
        <v>0</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0</v>
      </c>
      <c r="AZ178" s="13">
        <v>0</v>
      </c>
      <c r="BA178" s="13">
        <v>0</v>
      </c>
      <c r="BB178" s="13">
        <v>0</v>
      </c>
      <c r="BC178" s="13">
        <v>0</v>
      </c>
      <c r="BD178" s="13">
        <v>0</v>
      </c>
      <c r="BE178" s="95">
        <f t="shared" si="81"/>
        <v>282581.59999999998</v>
      </c>
      <c r="BF178" s="95">
        <f t="shared" si="82"/>
        <v>79214.850000000006</v>
      </c>
      <c r="BG178" s="95">
        <f t="shared" si="83"/>
        <v>203366.75</v>
      </c>
      <c r="BH178" s="95">
        <f t="shared" si="84"/>
        <v>0</v>
      </c>
    </row>
    <row r="179" spans="2:6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95">
        <f t="shared" si="81"/>
        <v>0</v>
      </c>
      <c r="BF179" s="95">
        <f t="shared" si="82"/>
        <v>0</v>
      </c>
      <c r="BG179" s="95">
        <f t="shared" si="83"/>
        <v>0</v>
      </c>
      <c r="BH179" s="95">
        <f t="shared" si="84"/>
        <v>0</v>
      </c>
    </row>
    <row r="180" spans="2:6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96173.55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95">
        <f t="shared" si="81"/>
        <v>96173.55</v>
      </c>
      <c r="BF180" s="95">
        <f t="shared" si="82"/>
        <v>96173.55</v>
      </c>
      <c r="BG180" s="95">
        <f t="shared" si="83"/>
        <v>0</v>
      </c>
      <c r="BH180" s="95">
        <f t="shared" si="84"/>
        <v>0</v>
      </c>
    </row>
    <row r="181" spans="2:6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95">
        <f t="shared" si="81"/>
        <v>0</v>
      </c>
      <c r="BF181" s="95">
        <f t="shared" si="82"/>
        <v>0</v>
      </c>
      <c r="BG181" s="95">
        <f t="shared" si="83"/>
        <v>0</v>
      </c>
      <c r="BH181" s="95">
        <f t="shared" si="84"/>
        <v>0</v>
      </c>
    </row>
    <row r="182" spans="2:60" ht="15" x14ac:dyDescent="0.25">
      <c r="D182" s="8">
        <v>2089</v>
      </c>
      <c r="E182" s="8" t="s">
        <v>433</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8000000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165000</v>
      </c>
      <c r="BC182" s="13">
        <v>0</v>
      </c>
      <c r="BD182" s="13">
        <v>0</v>
      </c>
      <c r="BE182" s="95">
        <f t="shared" si="81"/>
        <v>8257366.4500000002</v>
      </c>
      <c r="BF182" s="95">
        <f t="shared" si="82"/>
        <v>92366.45</v>
      </c>
      <c r="BG182" s="95">
        <f t="shared" si="83"/>
        <v>8000000</v>
      </c>
      <c r="BH182" s="95">
        <f t="shared" si="84"/>
        <v>165000</v>
      </c>
    </row>
    <row r="183" spans="2:60"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95"/>
      <c r="BF183" s="95"/>
      <c r="BG183" s="95"/>
      <c r="BH183" s="95"/>
    </row>
    <row r="184" spans="2:60" ht="15" x14ac:dyDescent="0.25">
      <c r="C184" s="123">
        <v>209</v>
      </c>
      <c r="D184" s="123"/>
      <c r="E184" s="123" t="s">
        <v>255</v>
      </c>
      <c r="F184" s="124">
        <f>F185+F186+F187+F188</f>
        <v>77287.7</v>
      </c>
      <c r="G184" s="124">
        <f t="shared" ref="G184:BD184" si="85">G185+G186+G187+G188</f>
        <v>0</v>
      </c>
      <c r="H184" s="124">
        <f t="shared" si="85"/>
        <v>117357.6</v>
      </c>
      <c r="I184" s="124">
        <f t="shared" si="85"/>
        <v>74721.22</v>
      </c>
      <c r="J184" s="124">
        <f t="shared" si="85"/>
        <v>226441.95</v>
      </c>
      <c r="K184" s="124">
        <f t="shared" si="85"/>
        <v>986073.7</v>
      </c>
      <c r="L184" s="124">
        <f t="shared" si="85"/>
        <v>263567.75</v>
      </c>
      <c r="M184" s="124">
        <f t="shared" si="85"/>
        <v>1796339.52</v>
      </c>
      <c r="N184" s="124">
        <f t="shared" si="85"/>
        <v>18744.900000000001</v>
      </c>
      <c r="O184" s="124">
        <f t="shared" si="85"/>
        <v>51471.45</v>
      </c>
      <c r="P184" s="124">
        <f t="shared" si="85"/>
        <v>734260.55</v>
      </c>
      <c r="Q184" s="124">
        <f t="shared" si="85"/>
        <v>18411.509999999998</v>
      </c>
      <c r="R184" s="124">
        <f t="shared" si="85"/>
        <v>0</v>
      </c>
      <c r="S184" s="124">
        <f t="shared" si="85"/>
        <v>12183.8</v>
      </c>
      <c r="T184" s="124">
        <f t="shared" si="85"/>
        <v>36330.300000000003</v>
      </c>
      <c r="U184" s="124">
        <f t="shared" si="85"/>
        <v>166564.85</v>
      </c>
      <c r="V184" s="124">
        <f t="shared" si="85"/>
        <v>36031.660000000003</v>
      </c>
      <c r="W184" s="124">
        <f t="shared" si="85"/>
        <v>0</v>
      </c>
      <c r="X184" s="124">
        <f t="shared" si="85"/>
        <v>560720.57999999996</v>
      </c>
      <c r="Y184" s="124">
        <f t="shared" si="85"/>
        <v>0</v>
      </c>
      <c r="Z184" s="124">
        <f t="shared" si="85"/>
        <v>149975.54999999999</v>
      </c>
      <c r="AA184" s="124">
        <f t="shared" si="85"/>
        <v>0</v>
      </c>
      <c r="AB184" s="124">
        <f t="shared" si="85"/>
        <v>50504.67</v>
      </c>
      <c r="AC184" s="124">
        <f t="shared" si="85"/>
        <v>197295.43</v>
      </c>
      <c r="AD184" s="124">
        <f t="shared" si="85"/>
        <v>0</v>
      </c>
      <c r="AE184" s="124">
        <f t="shared" si="85"/>
        <v>69492.59</v>
      </c>
      <c r="AF184" s="124">
        <f t="shared" si="85"/>
        <v>89345.4</v>
      </c>
      <c r="AG184" s="124">
        <f t="shared" si="85"/>
        <v>511185.8</v>
      </c>
      <c r="AH184" s="124">
        <f t="shared" si="85"/>
        <v>843445.8</v>
      </c>
      <c r="AI184" s="124">
        <f t="shared" si="85"/>
        <v>39338.199999999997</v>
      </c>
      <c r="AJ184" s="124">
        <f t="shared" si="85"/>
        <v>0</v>
      </c>
      <c r="AK184" s="124">
        <f t="shared" si="85"/>
        <v>0</v>
      </c>
      <c r="AL184" s="124">
        <f t="shared" si="85"/>
        <v>0</v>
      </c>
      <c r="AM184" s="124">
        <f t="shared" si="85"/>
        <v>52386.05</v>
      </c>
      <c r="AN184" s="124">
        <f t="shared" si="85"/>
        <v>8704.1</v>
      </c>
      <c r="AO184" s="124">
        <f t="shared" si="85"/>
        <v>195098.15</v>
      </c>
      <c r="AP184" s="124">
        <f t="shared" si="85"/>
        <v>0</v>
      </c>
      <c r="AQ184" s="124">
        <f t="shared" si="85"/>
        <v>47418.75</v>
      </c>
      <c r="AR184" s="124">
        <f t="shared" si="85"/>
        <v>191315.55</v>
      </c>
      <c r="AS184" s="124">
        <f t="shared" si="85"/>
        <v>8905.6200000000008</v>
      </c>
      <c r="AT184" s="124">
        <f t="shared" si="85"/>
        <v>37734.22</v>
      </c>
      <c r="AU184" s="124">
        <f t="shared" si="85"/>
        <v>11709.9</v>
      </c>
      <c r="AV184" s="124">
        <f t="shared" si="85"/>
        <v>0</v>
      </c>
      <c r="AW184" s="124">
        <f t="shared" si="85"/>
        <v>112094.55</v>
      </c>
      <c r="AX184" s="124">
        <f t="shared" si="85"/>
        <v>22303.81</v>
      </c>
      <c r="AY184" s="124">
        <f t="shared" si="85"/>
        <v>23166.74</v>
      </c>
      <c r="AZ184" s="124">
        <f t="shared" si="85"/>
        <v>60491.45</v>
      </c>
      <c r="BA184" s="124">
        <f t="shared" si="85"/>
        <v>11162.05</v>
      </c>
      <c r="BB184" s="124">
        <f t="shared" si="85"/>
        <v>491.45</v>
      </c>
      <c r="BC184" s="124">
        <f t="shared" si="85"/>
        <v>1070658.1100000001</v>
      </c>
      <c r="BD184" s="124">
        <f t="shared" si="85"/>
        <v>0</v>
      </c>
      <c r="BE184" s="124">
        <f>SUM(F184:BD184)</f>
        <v>8980732.9799999986</v>
      </c>
      <c r="BF184" s="124">
        <f>SUM(F184:X184)</f>
        <v>5176509.0399999991</v>
      </c>
      <c r="BG184" s="124">
        <f>SUM(Y184:AJ184)</f>
        <v>1950583.44</v>
      </c>
      <c r="BH184" s="124">
        <f>SUM(AK184:BD184)</f>
        <v>1853640.5</v>
      </c>
    </row>
    <row r="185" spans="2:60"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30627.82</v>
      </c>
      <c r="AC185" s="13">
        <v>0</v>
      </c>
      <c r="AD185" s="13">
        <v>0</v>
      </c>
      <c r="AE185" s="13">
        <v>0</v>
      </c>
      <c r="AF185" s="13">
        <v>0</v>
      </c>
      <c r="AG185" s="13">
        <v>0</v>
      </c>
      <c r="AH185" s="13">
        <v>0</v>
      </c>
      <c r="AI185" s="13">
        <v>0</v>
      </c>
      <c r="AJ185" s="13">
        <v>0</v>
      </c>
      <c r="AK185" s="13">
        <v>0</v>
      </c>
      <c r="AL185" s="13">
        <v>0</v>
      </c>
      <c r="AM185" s="13">
        <v>0</v>
      </c>
      <c r="AN185" s="13">
        <v>0</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95">
        <f>SUM(F185:BD185)</f>
        <v>30627.82</v>
      </c>
      <c r="BF185" s="95">
        <f>SUM(F185:X185)</f>
        <v>0</v>
      </c>
      <c r="BG185" s="95">
        <f>SUM(Y185:AJ185)</f>
        <v>30627.82</v>
      </c>
      <c r="BH185" s="95">
        <f>SUM(AK185:BD185)</f>
        <v>0</v>
      </c>
    </row>
    <row r="186" spans="2:60" ht="15" x14ac:dyDescent="0.25">
      <c r="D186" s="8">
        <v>2091</v>
      </c>
      <c r="E186" s="8" t="s">
        <v>434</v>
      </c>
      <c r="F186" s="13">
        <v>77287.7</v>
      </c>
      <c r="G186" s="13">
        <v>0</v>
      </c>
      <c r="H186" s="13">
        <v>117357.6</v>
      </c>
      <c r="I186" s="13">
        <v>74721.22</v>
      </c>
      <c r="J186" s="13">
        <v>226441.95</v>
      </c>
      <c r="K186" s="13">
        <v>986073.7</v>
      </c>
      <c r="L186" s="13">
        <v>263567.75</v>
      </c>
      <c r="M186" s="13">
        <v>1796339.52</v>
      </c>
      <c r="N186" s="13">
        <v>18744.900000000001</v>
      </c>
      <c r="O186" s="13">
        <v>51471.45</v>
      </c>
      <c r="P186" s="13">
        <v>734260.55</v>
      </c>
      <c r="Q186" s="13">
        <v>18411.509999999998</v>
      </c>
      <c r="R186" s="13">
        <v>0</v>
      </c>
      <c r="S186" s="13">
        <v>12183.8</v>
      </c>
      <c r="T186" s="13">
        <v>36330.300000000003</v>
      </c>
      <c r="U186" s="13">
        <v>166564.85</v>
      </c>
      <c r="V186" s="13">
        <v>36031.660000000003</v>
      </c>
      <c r="W186" s="13">
        <v>0</v>
      </c>
      <c r="X186" s="13">
        <v>560720.57999999996</v>
      </c>
      <c r="Y186" s="13">
        <v>0</v>
      </c>
      <c r="Z186" s="13">
        <v>149975.54999999999</v>
      </c>
      <c r="AA186" s="13">
        <v>0</v>
      </c>
      <c r="AB186" s="13">
        <v>19876.849999999999</v>
      </c>
      <c r="AC186" s="13">
        <v>197295.43</v>
      </c>
      <c r="AD186" s="13">
        <v>0</v>
      </c>
      <c r="AE186" s="13">
        <v>69492.59</v>
      </c>
      <c r="AF186" s="13">
        <v>89345.4</v>
      </c>
      <c r="AG186" s="13">
        <v>511185.8</v>
      </c>
      <c r="AH186" s="13">
        <v>785625.55</v>
      </c>
      <c r="AI186" s="13">
        <v>39338.199999999997</v>
      </c>
      <c r="AJ186" s="13">
        <v>0</v>
      </c>
      <c r="AK186" s="13">
        <v>0</v>
      </c>
      <c r="AL186" s="13">
        <v>0</v>
      </c>
      <c r="AM186" s="13">
        <v>52386.05</v>
      </c>
      <c r="AN186" s="13">
        <v>8704.1</v>
      </c>
      <c r="AO186" s="13">
        <v>195098.15</v>
      </c>
      <c r="AP186" s="13">
        <v>0</v>
      </c>
      <c r="AQ186" s="13">
        <v>47418.75</v>
      </c>
      <c r="AR186" s="13">
        <v>191315.55</v>
      </c>
      <c r="AS186" s="13">
        <v>8905.6200000000008</v>
      </c>
      <c r="AT186" s="13">
        <v>37734.22</v>
      </c>
      <c r="AU186" s="13">
        <v>11709.9</v>
      </c>
      <c r="AV186" s="13">
        <v>0</v>
      </c>
      <c r="AW186" s="13">
        <v>112094.55</v>
      </c>
      <c r="AX186" s="13">
        <v>22303.81</v>
      </c>
      <c r="AY186" s="13">
        <v>23166.74</v>
      </c>
      <c r="AZ186" s="13">
        <v>60491.45</v>
      </c>
      <c r="BA186" s="13">
        <v>11162.05</v>
      </c>
      <c r="BB186" s="13">
        <v>491.45</v>
      </c>
      <c r="BC186" s="13">
        <v>1070658.1100000001</v>
      </c>
      <c r="BD186" s="13">
        <v>0</v>
      </c>
      <c r="BE186" s="95">
        <f>SUM(F186:BD186)</f>
        <v>8892284.9099999983</v>
      </c>
      <c r="BF186" s="95">
        <f>SUM(F186:X186)</f>
        <v>5176509.0399999991</v>
      </c>
      <c r="BG186" s="95">
        <f>SUM(Y186:AJ186)</f>
        <v>1862135.3699999999</v>
      </c>
      <c r="BH186" s="95">
        <f>SUM(AK186:BD186)</f>
        <v>1853640.5</v>
      </c>
    </row>
    <row r="187" spans="2:6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95">
        <f>SUM(F187:BD187)</f>
        <v>0</v>
      </c>
      <c r="BF187" s="95">
        <f>SUM(F187:X187)</f>
        <v>0</v>
      </c>
      <c r="BG187" s="95">
        <f>SUM(Y187:AJ187)</f>
        <v>0</v>
      </c>
      <c r="BH187" s="95">
        <f>SUM(AK187:BD187)</f>
        <v>0</v>
      </c>
    </row>
    <row r="188" spans="2:6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57820.25</v>
      </c>
      <c r="AI188" s="13">
        <v>0</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95">
        <f>SUM(F188:BD188)</f>
        <v>57820.25</v>
      </c>
      <c r="BF188" s="95">
        <f>SUM(F188:X188)</f>
        <v>0</v>
      </c>
      <c r="BG188" s="95">
        <f>SUM(Y188:AJ188)</f>
        <v>57820.25</v>
      </c>
      <c r="BH188" s="95">
        <f>SUM(AK188:BD188)</f>
        <v>0</v>
      </c>
    </row>
    <row r="189" spans="2:60"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95"/>
      <c r="BF189" s="95"/>
      <c r="BG189" s="95"/>
      <c r="BH189" s="95"/>
    </row>
    <row r="190" spans="2:60" ht="15" x14ac:dyDescent="0.25">
      <c r="B190" s="121">
        <v>29</v>
      </c>
      <c r="C190" s="121"/>
      <c r="D190" s="121"/>
      <c r="E190" s="121" t="s">
        <v>256</v>
      </c>
      <c r="F190" s="122">
        <f>F191+F194+F198+F201+F204+F207+F210+F213+F216</f>
        <v>5252436.4800000004</v>
      </c>
      <c r="G190" s="122">
        <f t="shared" ref="G190:BH190" si="86">G191+G194+G198+G201+G204+G207+G210+G213+G216</f>
        <v>584118.53</v>
      </c>
      <c r="H190" s="122">
        <f t="shared" si="86"/>
        <v>689427.85000000009</v>
      </c>
      <c r="I190" s="122">
        <f t="shared" si="86"/>
        <v>2622737.58</v>
      </c>
      <c r="J190" s="122">
        <f t="shared" si="86"/>
        <v>12723950.189999999</v>
      </c>
      <c r="K190" s="122">
        <f t="shared" si="86"/>
        <v>8055435.5899999999</v>
      </c>
      <c r="L190" s="122">
        <f t="shared" si="86"/>
        <v>12477531.859999999</v>
      </c>
      <c r="M190" s="122">
        <f t="shared" si="86"/>
        <v>28285634.469999999</v>
      </c>
      <c r="N190" s="122">
        <f t="shared" si="86"/>
        <v>3970950.54</v>
      </c>
      <c r="O190" s="122">
        <f t="shared" si="86"/>
        <v>742784.13000000012</v>
      </c>
      <c r="P190" s="122">
        <f t="shared" si="86"/>
        <v>11601381.769999998</v>
      </c>
      <c r="Q190" s="122">
        <f t="shared" si="86"/>
        <v>1409165.8800000001</v>
      </c>
      <c r="R190" s="122">
        <f t="shared" si="86"/>
        <v>246935.34</v>
      </c>
      <c r="S190" s="122">
        <f t="shared" si="86"/>
        <v>1049662.94</v>
      </c>
      <c r="T190" s="122">
        <f t="shared" si="86"/>
        <v>1153724.69</v>
      </c>
      <c r="U190" s="122">
        <f t="shared" si="86"/>
        <v>3404290.79</v>
      </c>
      <c r="V190" s="122">
        <f t="shared" si="86"/>
        <v>751098.03</v>
      </c>
      <c r="W190" s="122">
        <f t="shared" si="86"/>
        <v>781696.64</v>
      </c>
      <c r="X190" s="122">
        <f t="shared" si="86"/>
        <v>7669309.04</v>
      </c>
      <c r="Y190" s="122">
        <f t="shared" si="86"/>
        <v>3482115.24</v>
      </c>
      <c r="Z190" s="122">
        <f t="shared" si="86"/>
        <v>5971447.5500000007</v>
      </c>
      <c r="AA190" s="122">
        <f t="shared" si="86"/>
        <v>28833050.009999998</v>
      </c>
      <c r="AB190" s="122">
        <f t="shared" si="86"/>
        <v>1659882.98</v>
      </c>
      <c r="AC190" s="122">
        <f t="shared" si="86"/>
        <v>1481985.19</v>
      </c>
      <c r="AD190" s="122">
        <f t="shared" si="86"/>
        <v>2016345.04</v>
      </c>
      <c r="AE190" s="122">
        <f t="shared" si="86"/>
        <v>2612078.15</v>
      </c>
      <c r="AF190" s="122">
        <f t="shared" si="86"/>
        <v>7598993.9299999997</v>
      </c>
      <c r="AG190" s="122">
        <f t="shared" si="86"/>
        <v>12144087.32</v>
      </c>
      <c r="AH190" s="122">
        <f t="shared" si="86"/>
        <v>11819844.279999999</v>
      </c>
      <c r="AI190" s="122">
        <f t="shared" si="86"/>
        <v>2251236.29</v>
      </c>
      <c r="AJ190" s="122">
        <f t="shared" si="86"/>
        <v>2411548.69</v>
      </c>
      <c r="AK190" s="122">
        <f t="shared" si="86"/>
        <v>6079390.5200000005</v>
      </c>
      <c r="AL190" s="122">
        <f t="shared" si="86"/>
        <v>7256740.5700000003</v>
      </c>
      <c r="AM190" s="122">
        <f t="shared" si="86"/>
        <v>3639608.71</v>
      </c>
      <c r="AN190" s="122">
        <f t="shared" si="86"/>
        <v>1323508.8</v>
      </c>
      <c r="AO190" s="122">
        <f t="shared" si="86"/>
        <v>24750470.689999998</v>
      </c>
      <c r="AP190" s="122">
        <f t="shared" si="86"/>
        <v>2285647.35</v>
      </c>
      <c r="AQ190" s="122">
        <f t="shared" si="86"/>
        <v>2715093.2199999997</v>
      </c>
      <c r="AR190" s="122">
        <f t="shared" si="86"/>
        <v>10708012.050000001</v>
      </c>
      <c r="AS190" s="122">
        <f t="shared" si="86"/>
        <v>2075213.03</v>
      </c>
      <c r="AT190" s="122">
        <f t="shared" si="86"/>
        <v>1890096.1600000001</v>
      </c>
      <c r="AU190" s="122">
        <f t="shared" si="86"/>
        <v>4099171.4300000006</v>
      </c>
      <c r="AV190" s="122">
        <f t="shared" si="86"/>
        <v>7563756.1499999994</v>
      </c>
      <c r="AW190" s="122">
        <f t="shared" si="86"/>
        <v>3269804.64</v>
      </c>
      <c r="AX190" s="122">
        <f t="shared" si="86"/>
        <v>2497358.4900000002</v>
      </c>
      <c r="AY190" s="122">
        <f t="shared" si="86"/>
        <v>1456637.58</v>
      </c>
      <c r="AZ190" s="122">
        <f t="shared" si="86"/>
        <v>3610357.97</v>
      </c>
      <c r="BA190" s="122">
        <f t="shared" si="86"/>
        <v>3461439.3</v>
      </c>
      <c r="BB190" s="122">
        <f t="shared" si="86"/>
        <v>5235938.21</v>
      </c>
      <c r="BC190" s="122">
        <f t="shared" si="86"/>
        <v>11735023.149999999</v>
      </c>
      <c r="BD190" s="122">
        <f t="shared" si="86"/>
        <v>1806601.9</v>
      </c>
      <c r="BE190" s="122">
        <f t="shared" si="86"/>
        <v>293214756.93000007</v>
      </c>
      <c r="BF190" s="122">
        <f t="shared" si="86"/>
        <v>103472272.33999999</v>
      </c>
      <c r="BG190" s="122">
        <f t="shared" si="86"/>
        <v>82282614.670000002</v>
      </c>
      <c r="BH190" s="122">
        <f t="shared" si="86"/>
        <v>107459869.91999999</v>
      </c>
    </row>
    <row r="191" spans="2:60" ht="15" x14ac:dyDescent="0.25">
      <c r="C191" s="123">
        <v>290</v>
      </c>
      <c r="D191" s="123"/>
      <c r="E191" s="123" t="s">
        <v>257</v>
      </c>
      <c r="F191" s="124">
        <f>F192</f>
        <v>2762936.56</v>
      </c>
      <c r="G191" s="124">
        <f t="shared" ref="G191:BD191" si="87">G192</f>
        <v>572736.05000000005</v>
      </c>
      <c r="H191" s="124">
        <f t="shared" si="87"/>
        <v>482521.7</v>
      </c>
      <c r="I191" s="124">
        <f t="shared" si="87"/>
        <v>1379682.07</v>
      </c>
      <c r="J191" s="124">
        <f t="shared" si="87"/>
        <v>5408372.6799999997</v>
      </c>
      <c r="K191" s="124">
        <f t="shared" si="87"/>
        <v>4682402.28</v>
      </c>
      <c r="L191" s="124">
        <f t="shared" si="87"/>
        <v>3289822.45</v>
      </c>
      <c r="M191" s="124">
        <f t="shared" si="87"/>
        <v>26824288.859999999</v>
      </c>
      <c r="N191" s="124">
        <f t="shared" si="87"/>
        <v>1513478.42</v>
      </c>
      <c r="O191" s="124">
        <f t="shared" si="87"/>
        <v>210167.43</v>
      </c>
      <c r="P191" s="124">
        <f t="shared" si="87"/>
        <v>4830825.8899999997</v>
      </c>
      <c r="Q191" s="124">
        <f t="shared" si="87"/>
        <v>727639.54</v>
      </c>
      <c r="R191" s="124">
        <f t="shared" si="87"/>
        <v>209868.44</v>
      </c>
      <c r="S191" s="124">
        <f t="shared" si="87"/>
        <v>362426.32</v>
      </c>
      <c r="T191" s="124">
        <f t="shared" si="87"/>
        <v>1132242.3999999999</v>
      </c>
      <c r="U191" s="124">
        <f t="shared" si="87"/>
        <v>1817789.83</v>
      </c>
      <c r="V191" s="124">
        <f t="shared" si="87"/>
        <v>431382.34</v>
      </c>
      <c r="W191" s="124">
        <f t="shared" si="87"/>
        <v>579395.4</v>
      </c>
      <c r="X191" s="124">
        <f t="shared" si="87"/>
        <v>2863065.21</v>
      </c>
      <c r="Y191" s="124">
        <f t="shared" si="87"/>
        <v>784819.1</v>
      </c>
      <c r="Z191" s="124">
        <f t="shared" si="87"/>
        <v>1257923.8799999999</v>
      </c>
      <c r="AA191" s="124">
        <f t="shared" si="87"/>
        <v>2907756.15</v>
      </c>
      <c r="AB191" s="124">
        <f t="shared" si="87"/>
        <v>514196.5</v>
      </c>
      <c r="AC191" s="124">
        <f t="shared" si="87"/>
        <v>671909.76</v>
      </c>
      <c r="AD191" s="124">
        <f t="shared" si="87"/>
        <v>488570.01</v>
      </c>
      <c r="AE191" s="124">
        <f t="shared" si="87"/>
        <v>1197071.19</v>
      </c>
      <c r="AF191" s="124">
        <f t="shared" si="87"/>
        <v>2164337.91</v>
      </c>
      <c r="AG191" s="124">
        <f t="shared" si="87"/>
        <v>3174448.4</v>
      </c>
      <c r="AH191" s="124">
        <f t="shared" si="87"/>
        <v>7255636.3399999999</v>
      </c>
      <c r="AI191" s="124">
        <f t="shared" si="87"/>
        <v>899250.36</v>
      </c>
      <c r="AJ191" s="124">
        <f t="shared" si="87"/>
        <v>608808.11</v>
      </c>
      <c r="AK191" s="124">
        <f t="shared" si="87"/>
        <v>2126566.79</v>
      </c>
      <c r="AL191" s="124">
        <f t="shared" si="87"/>
        <v>1298074.2</v>
      </c>
      <c r="AM191" s="124">
        <f t="shared" si="87"/>
        <v>810040.9</v>
      </c>
      <c r="AN191" s="124">
        <f t="shared" si="87"/>
        <v>279848.65999999997</v>
      </c>
      <c r="AO191" s="124">
        <f t="shared" si="87"/>
        <v>3080031.79</v>
      </c>
      <c r="AP191" s="124">
        <f t="shared" si="87"/>
        <v>693700.11</v>
      </c>
      <c r="AQ191" s="124">
        <f t="shared" si="87"/>
        <v>599509.43999999994</v>
      </c>
      <c r="AR191" s="124">
        <f t="shared" si="87"/>
        <v>1370482.83</v>
      </c>
      <c r="AS191" s="124">
        <f t="shared" si="87"/>
        <v>1524803.51</v>
      </c>
      <c r="AT191" s="124">
        <f t="shared" si="87"/>
        <v>709293.15</v>
      </c>
      <c r="AU191" s="124">
        <f t="shared" si="87"/>
        <v>740302.06</v>
      </c>
      <c r="AV191" s="124">
        <f t="shared" si="87"/>
        <v>1197164.71</v>
      </c>
      <c r="AW191" s="124">
        <f t="shared" si="87"/>
        <v>1334758.18</v>
      </c>
      <c r="AX191" s="124">
        <f t="shared" si="87"/>
        <v>857101.81</v>
      </c>
      <c r="AY191" s="124">
        <f t="shared" si="87"/>
        <v>1045258.37</v>
      </c>
      <c r="AZ191" s="124">
        <f t="shared" si="87"/>
        <v>968165.04</v>
      </c>
      <c r="BA191" s="124">
        <f t="shared" si="87"/>
        <v>1674314.09</v>
      </c>
      <c r="BB191" s="124">
        <f t="shared" si="87"/>
        <v>1782176.81</v>
      </c>
      <c r="BC191" s="124">
        <f t="shared" si="87"/>
        <v>9277701.1999999993</v>
      </c>
      <c r="BD191" s="124">
        <f t="shared" si="87"/>
        <v>793732.97</v>
      </c>
      <c r="BE191" s="124">
        <f>SUM(F191:BD191)</f>
        <v>114168798.20000005</v>
      </c>
      <c r="BF191" s="124">
        <f>SUM(F191:X191)</f>
        <v>60081043.869999997</v>
      </c>
      <c r="BG191" s="124">
        <f>SUM(Y191:AJ191)</f>
        <v>21924727.710000001</v>
      </c>
      <c r="BH191" s="124">
        <f>SUM(AK191:BD191)</f>
        <v>32163026.619999997</v>
      </c>
    </row>
    <row r="192" spans="2:60" ht="15" x14ac:dyDescent="0.25">
      <c r="D192" s="8">
        <v>2900</v>
      </c>
      <c r="E192" s="8" t="s">
        <v>257</v>
      </c>
      <c r="F192" s="13">
        <v>2762936.56</v>
      </c>
      <c r="G192" s="13">
        <v>572736.05000000005</v>
      </c>
      <c r="H192" s="13">
        <v>482521.7</v>
      </c>
      <c r="I192" s="13">
        <v>1379682.07</v>
      </c>
      <c r="J192" s="13">
        <v>5408372.6799999997</v>
      </c>
      <c r="K192" s="13">
        <v>4682402.28</v>
      </c>
      <c r="L192" s="13">
        <v>3289822.45</v>
      </c>
      <c r="M192" s="13">
        <v>26824288.859999999</v>
      </c>
      <c r="N192" s="13">
        <v>1513478.42</v>
      </c>
      <c r="O192" s="13">
        <v>210167.43</v>
      </c>
      <c r="P192" s="13">
        <v>4830825.8899999997</v>
      </c>
      <c r="Q192" s="13">
        <v>727639.54</v>
      </c>
      <c r="R192" s="13">
        <v>209868.44</v>
      </c>
      <c r="S192" s="13">
        <v>362426.32</v>
      </c>
      <c r="T192" s="13">
        <v>1132242.3999999999</v>
      </c>
      <c r="U192" s="13">
        <v>1817789.83</v>
      </c>
      <c r="V192" s="13">
        <v>431382.34</v>
      </c>
      <c r="W192" s="13">
        <v>579395.4</v>
      </c>
      <c r="X192" s="13">
        <v>2863065.21</v>
      </c>
      <c r="Y192" s="13">
        <v>784819.1</v>
      </c>
      <c r="Z192" s="13">
        <v>1257923.8799999999</v>
      </c>
      <c r="AA192" s="13">
        <v>2907756.15</v>
      </c>
      <c r="AB192" s="13">
        <v>514196.5</v>
      </c>
      <c r="AC192" s="13">
        <v>671909.76</v>
      </c>
      <c r="AD192" s="13">
        <v>488570.01</v>
      </c>
      <c r="AE192" s="13">
        <v>1197071.19</v>
      </c>
      <c r="AF192" s="13">
        <v>2164337.91</v>
      </c>
      <c r="AG192" s="13">
        <v>3174448.4</v>
      </c>
      <c r="AH192" s="13">
        <v>7255636.3399999999</v>
      </c>
      <c r="AI192" s="13">
        <v>899250.36</v>
      </c>
      <c r="AJ192" s="13">
        <v>608808.11</v>
      </c>
      <c r="AK192" s="13">
        <v>2126566.79</v>
      </c>
      <c r="AL192" s="13">
        <v>1298074.2</v>
      </c>
      <c r="AM192" s="13">
        <v>810040.9</v>
      </c>
      <c r="AN192" s="13">
        <v>279848.65999999997</v>
      </c>
      <c r="AO192" s="13">
        <v>3080031.79</v>
      </c>
      <c r="AP192" s="13">
        <v>693700.11</v>
      </c>
      <c r="AQ192" s="13">
        <v>599509.43999999994</v>
      </c>
      <c r="AR192" s="13">
        <v>1370482.83</v>
      </c>
      <c r="AS192" s="13">
        <v>1524803.51</v>
      </c>
      <c r="AT192" s="13">
        <v>709293.15</v>
      </c>
      <c r="AU192" s="13">
        <v>740302.06</v>
      </c>
      <c r="AV192" s="13">
        <v>1197164.71</v>
      </c>
      <c r="AW192" s="13">
        <v>1334758.18</v>
      </c>
      <c r="AX192" s="13">
        <v>857101.81</v>
      </c>
      <c r="AY192" s="13">
        <v>1045258.37</v>
      </c>
      <c r="AZ192" s="13">
        <v>968165.04</v>
      </c>
      <c r="BA192" s="13">
        <v>1674314.09</v>
      </c>
      <c r="BB192" s="13">
        <v>1782176.81</v>
      </c>
      <c r="BC192" s="13">
        <v>9277701.1999999993</v>
      </c>
      <c r="BD192" s="13">
        <v>793732.97</v>
      </c>
      <c r="BE192" s="95">
        <f>SUM(F192:BD192)</f>
        <v>114168798.20000005</v>
      </c>
      <c r="BF192" s="95">
        <f>SUM(F192:X192)</f>
        <v>60081043.869999997</v>
      </c>
      <c r="BG192" s="95">
        <f>SUM(Y192:AJ192)</f>
        <v>21924727.710000001</v>
      </c>
      <c r="BH192" s="95">
        <f>SUM(AK192:BD192)</f>
        <v>32163026.619999997</v>
      </c>
    </row>
    <row r="193" spans="3:60"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95"/>
      <c r="BF193" s="95"/>
      <c r="BG193" s="95"/>
      <c r="BH193" s="95"/>
    </row>
    <row r="194" spans="3:60" ht="15" x14ac:dyDescent="0.25">
      <c r="C194" s="123">
        <v>291</v>
      </c>
      <c r="D194" s="123"/>
      <c r="E194" s="123" t="s">
        <v>258</v>
      </c>
      <c r="F194" s="124">
        <f>F195+F196</f>
        <v>47793.1</v>
      </c>
      <c r="G194" s="124">
        <f t="shared" ref="G194:BD194" si="88">G195+G196</f>
        <v>0</v>
      </c>
      <c r="H194" s="124">
        <f t="shared" si="88"/>
        <v>0</v>
      </c>
      <c r="I194" s="124">
        <f t="shared" si="88"/>
        <v>0</v>
      </c>
      <c r="J194" s="124">
        <f t="shared" si="88"/>
        <v>0</v>
      </c>
      <c r="K194" s="124">
        <f t="shared" si="88"/>
        <v>0</v>
      </c>
      <c r="L194" s="124">
        <f t="shared" si="88"/>
        <v>0</v>
      </c>
      <c r="M194" s="124">
        <f t="shared" si="88"/>
        <v>0</v>
      </c>
      <c r="N194" s="124">
        <f t="shared" si="88"/>
        <v>0</v>
      </c>
      <c r="O194" s="124">
        <f t="shared" si="88"/>
        <v>0</v>
      </c>
      <c r="P194" s="124">
        <f t="shared" si="88"/>
        <v>269724.81</v>
      </c>
      <c r="Q194" s="124">
        <f t="shared" si="88"/>
        <v>0</v>
      </c>
      <c r="R194" s="124">
        <f t="shared" si="88"/>
        <v>0</v>
      </c>
      <c r="S194" s="124">
        <f t="shared" si="88"/>
        <v>0</v>
      </c>
      <c r="T194" s="124">
        <f t="shared" si="88"/>
        <v>0</v>
      </c>
      <c r="U194" s="124">
        <f t="shared" si="88"/>
        <v>0</v>
      </c>
      <c r="V194" s="124">
        <f t="shared" si="88"/>
        <v>0</v>
      </c>
      <c r="W194" s="124">
        <f t="shared" si="88"/>
        <v>0</v>
      </c>
      <c r="X194" s="124">
        <f t="shared" si="88"/>
        <v>0</v>
      </c>
      <c r="Y194" s="124">
        <f t="shared" si="88"/>
        <v>0</v>
      </c>
      <c r="Z194" s="124">
        <f t="shared" si="88"/>
        <v>0</v>
      </c>
      <c r="AA194" s="124">
        <f t="shared" si="88"/>
        <v>0</v>
      </c>
      <c r="AB194" s="124">
        <f t="shared" si="88"/>
        <v>20052.07</v>
      </c>
      <c r="AC194" s="124">
        <f t="shared" si="88"/>
        <v>0</v>
      </c>
      <c r="AD194" s="124">
        <f t="shared" si="88"/>
        <v>0</v>
      </c>
      <c r="AE194" s="124">
        <f t="shared" si="88"/>
        <v>17514.75</v>
      </c>
      <c r="AF194" s="124">
        <f t="shared" si="88"/>
        <v>18104</v>
      </c>
      <c r="AG194" s="124">
        <f t="shared" si="88"/>
        <v>0</v>
      </c>
      <c r="AH194" s="124">
        <f t="shared" si="88"/>
        <v>0</v>
      </c>
      <c r="AI194" s="124">
        <f t="shared" si="88"/>
        <v>0</v>
      </c>
      <c r="AJ194" s="124">
        <f t="shared" si="88"/>
        <v>101520.35</v>
      </c>
      <c r="AK194" s="124">
        <f t="shared" si="88"/>
        <v>0</v>
      </c>
      <c r="AL194" s="124">
        <f t="shared" si="88"/>
        <v>126822.44</v>
      </c>
      <c r="AM194" s="124">
        <f t="shared" si="88"/>
        <v>0</v>
      </c>
      <c r="AN194" s="124">
        <f t="shared" si="88"/>
        <v>0</v>
      </c>
      <c r="AO194" s="124">
        <f t="shared" si="88"/>
        <v>223365.3</v>
      </c>
      <c r="AP194" s="124">
        <f t="shared" si="88"/>
        <v>0</v>
      </c>
      <c r="AQ194" s="124">
        <f t="shared" si="88"/>
        <v>0</v>
      </c>
      <c r="AR194" s="124">
        <f t="shared" si="88"/>
        <v>0</v>
      </c>
      <c r="AS194" s="124">
        <f t="shared" si="88"/>
        <v>0</v>
      </c>
      <c r="AT194" s="124">
        <f t="shared" si="88"/>
        <v>0</v>
      </c>
      <c r="AU194" s="124">
        <f t="shared" si="88"/>
        <v>0</v>
      </c>
      <c r="AV194" s="124">
        <f t="shared" si="88"/>
        <v>0</v>
      </c>
      <c r="AW194" s="124">
        <f t="shared" si="88"/>
        <v>247597.15</v>
      </c>
      <c r="AX194" s="124">
        <f t="shared" si="88"/>
        <v>0</v>
      </c>
      <c r="AY194" s="124">
        <f t="shared" si="88"/>
        <v>0</v>
      </c>
      <c r="AZ194" s="124">
        <f t="shared" si="88"/>
        <v>0</v>
      </c>
      <c r="BA194" s="124">
        <f t="shared" si="88"/>
        <v>0</v>
      </c>
      <c r="BB194" s="124">
        <f t="shared" si="88"/>
        <v>0</v>
      </c>
      <c r="BC194" s="124">
        <f t="shared" si="88"/>
        <v>404347.11</v>
      </c>
      <c r="BD194" s="124">
        <f t="shared" si="88"/>
        <v>0</v>
      </c>
      <c r="BE194" s="124">
        <f>SUM(F194:BD194)</f>
        <v>1476841.08</v>
      </c>
      <c r="BF194" s="124">
        <f>SUM(F194:X194)</f>
        <v>317517.90999999997</v>
      </c>
      <c r="BG194" s="124">
        <f>SUM(Y194:AJ194)</f>
        <v>157191.17000000001</v>
      </c>
      <c r="BH194" s="124">
        <f>SUM(AK194:BD194)</f>
        <v>1002132</v>
      </c>
    </row>
    <row r="195" spans="3:60" ht="15" x14ac:dyDescent="0.25">
      <c r="D195" s="8">
        <v>2910</v>
      </c>
      <c r="E195" s="8" t="s">
        <v>258</v>
      </c>
      <c r="F195" s="13">
        <v>47793.1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20052.07</v>
      </c>
      <c r="AC195" s="13">
        <v>0</v>
      </c>
      <c r="AD195" s="13">
        <v>0</v>
      </c>
      <c r="AE195" s="13">
        <v>17514.75</v>
      </c>
      <c r="AF195" s="13">
        <v>18104</v>
      </c>
      <c r="AG195" s="13">
        <v>0</v>
      </c>
      <c r="AH195" s="13">
        <v>0</v>
      </c>
      <c r="AI195" s="13">
        <v>0</v>
      </c>
      <c r="AJ195" s="13">
        <v>101520.35</v>
      </c>
      <c r="AK195" s="13">
        <v>0</v>
      </c>
      <c r="AL195" s="13">
        <v>126822.44</v>
      </c>
      <c r="AM195" s="13">
        <v>0</v>
      </c>
      <c r="AN195" s="13">
        <v>0</v>
      </c>
      <c r="AO195" s="13">
        <v>223365.3</v>
      </c>
      <c r="AP195" s="13">
        <v>0</v>
      </c>
      <c r="AQ195" s="13">
        <v>0</v>
      </c>
      <c r="AR195" s="13">
        <v>0</v>
      </c>
      <c r="AS195" s="13">
        <v>0</v>
      </c>
      <c r="AT195" s="13">
        <v>0</v>
      </c>
      <c r="AU195" s="13">
        <v>0</v>
      </c>
      <c r="AV195" s="13">
        <v>0</v>
      </c>
      <c r="AW195" s="13">
        <v>247597.15</v>
      </c>
      <c r="AX195" s="13">
        <v>0</v>
      </c>
      <c r="AY195" s="13">
        <v>0</v>
      </c>
      <c r="AZ195" s="13">
        <v>0</v>
      </c>
      <c r="BA195" s="13">
        <v>0</v>
      </c>
      <c r="BB195" s="13">
        <v>0</v>
      </c>
      <c r="BC195" s="13">
        <v>404347.11</v>
      </c>
      <c r="BD195" s="13">
        <v>0</v>
      </c>
      <c r="BE195" s="95">
        <f>SUM(F195:BD195)</f>
        <v>1207116.27</v>
      </c>
      <c r="BF195" s="95">
        <f>SUM(F195:X195)</f>
        <v>47793.1</v>
      </c>
      <c r="BG195" s="95">
        <f>SUM(Y195:AJ195)</f>
        <v>157191.17000000001</v>
      </c>
      <c r="BH195" s="95">
        <f>SUM(AK195:BD195)</f>
        <v>1002132</v>
      </c>
    </row>
    <row r="196" spans="3:60" ht="15" x14ac:dyDescent="0.25">
      <c r="D196" s="8">
        <v>2911</v>
      </c>
      <c r="E196" s="8" t="s">
        <v>437</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95">
        <f>SUM(F196:BD196)</f>
        <v>269724.81</v>
      </c>
      <c r="BF196" s="95">
        <f>SUM(F196:X196)</f>
        <v>269724.81</v>
      </c>
      <c r="BG196" s="95">
        <f>SUM(Y196:AJ196)</f>
        <v>0</v>
      </c>
      <c r="BH196" s="95">
        <f>SUM(AK196:BD196)</f>
        <v>0</v>
      </c>
    </row>
    <row r="197" spans="3:60"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95"/>
      <c r="BF197" s="95"/>
      <c r="BG197" s="95"/>
      <c r="BH197" s="95"/>
    </row>
    <row r="198" spans="3:60" ht="15" x14ac:dyDescent="0.25">
      <c r="C198" s="123">
        <v>292</v>
      </c>
      <c r="D198" s="123"/>
      <c r="E198" s="123" t="s">
        <v>259</v>
      </c>
      <c r="F198" s="124">
        <f>F199</f>
        <v>0</v>
      </c>
      <c r="G198" s="124">
        <f t="shared" ref="G198:BD198" si="89">G199</f>
        <v>0</v>
      </c>
      <c r="H198" s="124">
        <f t="shared" si="89"/>
        <v>0</v>
      </c>
      <c r="I198" s="124">
        <f t="shared" si="89"/>
        <v>0</v>
      </c>
      <c r="J198" s="124">
        <f t="shared" si="89"/>
        <v>0</v>
      </c>
      <c r="K198" s="124">
        <f t="shared" si="89"/>
        <v>0</v>
      </c>
      <c r="L198" s="124">
        <f t="shared" si="89"/>
        <v>0</v>
      </c>
      <c r="M198" s="124">
        <f t="shared" si="89"/>
        <v>0</v>
      </c>
      <c r="N198" s="124">
        <f t="shared" si="89"/>
        <v>0</v>
      </c>
      <c r="O198" s="124">
        <f t="shared" si="89"/>
        <v>0</v>
      </c>
      <c r="P198" s="124">
        <f t="shared" si="89"/>
        <v>0</v>
      </c>
      <c r="Q198" s="124">
        <f t="shared" si="89"/>
        <v>0</v>
      </c>
      <c r="R198" s="124">
        <f t="shared" si="89"/>
        <v>0</v>
      </c>
      <c r="S198" s="124">
        <f t="shared" si="89"/>
        <v>0</v>
      </c>
      <c r="T198" s="124">
        <f t="shared" si="89"/>
        <v>0</v>
      </c>
      <c r="U198" s="124">
        <f t="shared" si="89"/>
        <v>0</v>
      </c>
      <c r="V198" s="124">
        <f t="shared" si="89"/>
        <v>0</v>
      </c>
      <c r="W198" s="124">
        <f t="shared" si="89"/>
        <v>0</v>
      </c>
      <c r="X198" s="124">
        <f t="shared" si="89"/>
        <v>0</v>
      </c>
      <c r="Y198" s="124">
        <f t="shared" si="89"/>
        <v>0</v>
      </c>
      <c r="Z198" s="124">
        <f t="shared" si="89"/>
        <v>0</v>
      </c>
      <c r="AA198" s="124">
        <f t="shared" si="89"/>
        <v>156058.35</v>
      </c>
      <c r="AB198" s="124">
        <f t="shared" si="89"/>
        <v>0</v>
      </c>
      <c r="AC198" s="124">
        <f t="shared" si="89"/>
        <v>0</v>
      </c>
      <c r="AD198" s="124">
        <f t="shared" si="89"/>
        <v>0</v>
      </c>
      <c r="AE198" s="124">
        <f t="shared" si="89"/>
        <v>0</v>
      </c>
      <c r="AF198" s="124">
        <f t="shared" si="89"/>
        <v>0</v>
      </c>
      <c r="AG198" s="124">
        <f t="shared" si="89"/>
        <v>117368.25</v>
      </c>
      <c r="AH198" s="124">
        <f t="shared" si="89"/>
        <v>0</v>
      </c>
      <c r="AI198" s="124">
        <f t="shared" si="89"/>
        <v>0</v>
      </c>
      <c r="AJ198" s="124">
        <f t="shared" si="89"/>
        <v>0</v>
      </c>
      <c r="AK198" s="124">
        <f t="shared" si="89"/>
        <v>0</v>
      </c>
      <c r="AL198" s="124">
        <f t="shared" si="89"/>
        <v>0</v>
      </c>
      <c r="AM198" s="124">
        <f t="shared" si="89"/>
        <v>0</v>
      </c>
      <c r="AN198" s="124">
        <f t="shared" si="89"/>
        <v>0</v>
      </c>
      <c r="AO198" s="124">
        <f t="shared" si="89"/>
        <v>0</v>
      </c>
      <c r="AP198" s="124">
        <f t="shared" si="89"/>
        <v>0</v>
      </c>
      <c r="AQ198" s="124">
        <f t="shared" si="89"/>
        <v>0</v>
      </c>
      <c r="AR198" s="124">
        <f t="shared" si="89"/>
        <v>0</v>
      </c>
      <c r="AS198" s="124">
        <f t="shared" si="89"/>
        <v>0</v>
      </c>
      <c r="AT198" s="124">
        <f t="shared" si="89"/>
        <v>-15397.78</v>
      </c>
      <c r="AU198" s="124">
        <f t="shared" si="89"/>
        <v>0</v>
      </c>
      <c r="AV198" s="124">
        <f t="shared" si="89"/>
        <v>0</v>
      </c>
      <c r="AW198" s="124">
        <f t="shared" si="89"/>
        <v>0</v>
      </c>
      <c r="AX198" s="124">
        <f t="shared" si="89"/>
        <v>0</v>
      </c>
      <c r="AY198" s="124">
        <f t="shared" si="89"/>
        <v>0</v>
      </c>
      <c r="AZ198" s="124">
        <f t="shared" si="89"/>
        <v>0</v>
      </c>
      <c r="BA198" s="124">
        <f t="shared" si="89"/>
        <v>0</v>
      </c>
      <c r="BB198" s="124">
        <f t="shared" si="89"/>
        <v>0</v>
      </c>
      <c r="BC198" s="124">
        <f t="shared" si="89"/>
        <v>0</v>
      </c>
      <c r="BD198" s="124">
        <f t="shared" si="89"/>
        <v>0</v>
      </c>
      <c r="BE198" s="124">
        <f>SUM(F198:BD198)</f>
        <v>258028.81999999998</v>
      </c>
      <c r="BF198" s="124">
        <f>SUM(F198:X198)</f>
        <v>0</v>
      </c>
      <c r="BG198" s="124">
        <f>SUM(Y198:AJ198)</f>
        <v>273426.59999999998</v>
      </c>
      <c r="BH198" s="124">
        <f>SUM(AK198:BD198)</f>
        <v>-15397.78</v>
      </c>
    </row>
    <row r="199" spans="3:6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156058.35</v>
      </c>
      <c r="AB199" s="13">
        <v>0</v>
      </c>
      <c r="AC199" s="13">
        <v>0</v>
      </c>
      <c r="AD199" s="13">
        <v>0</v>
      </c>
      <c r="AE199" s="13">
        <v>0</v>
      </c>
      <c r="AF199" s="13">
        <v>0</v>
      </c>
      <c r="AG199" s="13">
        <v>117368.25</v>
      </c>
      <c r="AH199" s="13">
        <v>0</v>
      </c>
      <c r="AI199" s="13">
        <v>0</v>
      </c>
      <c r="AJ199" s="13">
        <v>0</v>
      </c>
      <c r="AK199" s="13">
        <v>0</v>
      </c>
      <c r="AL199" s="13">
        <v>0</v>
      </c>
      <c r="AM199" s="13">
        <v>0</v>
      </c>
      <c r="AN199" s="13">
        <v>0</v>
      </c>
      <c r="AO199" s="13">
        <v>0</v>
      </c>
      <c r="AP199" s="13">
        <v>0</v>
      </c>
      <c r="AQ199" s="13">
        <v>0</v>
      </c>
      <c r="AR199" s="13">
        <v>0</v>
      </c>
      <c r="AS199" s="13">
        <v>0</v>
      </c>
      <c r="AT199" s="13">
        <v>-15397.78</v>
      </c>
      <c r="AU199" s="13">
        <v>0</v>
      </c>
      <c r="AV199" s="13">
        <v>0</v>
      </c>
      <c r="AW199" s="13">
        <v>0</v>
      </c>
      <c r="AX199" s="13">
        <v>0</v>
      </c>
      <c r="AY199" s="13">
        <v>0</v>
      </c>
      <c r="AZ199" s="13">
        <v>0</v>
      </c>
      <c r="BA199" s="13">
        <v>0</v>
      </c>
      <c r="BB199" s="13">
        <v>0</v>
      </c>
      <c r="BC199" s="13">
        <v>0</v>
      </c>
      <c r="BD199" s="13">
        <v>0</v>
      </c>
      <c r="BE199" s="95">
        <f>SUM(F199:BD199)</f>
        <v>258028.81999999998</v>
      </c>
      <c r="BF199" s="95">
        <f>SUM(F199:X199)</f>
        <v>0</v>
      </c>
      <c r="BG199" s="95">
        <f>SUM(Y199:AJ199)</f>
        <v>273426.59999999998</v>
      </c>
      <c r="BH199" s="95">
        <f>SUM(AK199:BD199)</f>
        <v>-15397.78</v>
      </c>
    </row>
    <row r="200" spans="3:60"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95"/>
      <c r="BF200" s="95"/>
      <c r="BG200" s="95"/>
      <c r="BH200" s="95"/>
    </row>
    <row r="201" spans="3:60" ht="15" x14ac:dyDescent="0.25">
      <c r="C201" s="123">
        <v>293</v>
      </c>
      <c r="D201" s="123"/>
      <c r="E201" s="123" t="s">
        <v>260</v>
      </c>
      <c r="F201" s="124">
        <f>F202</f>
        <v>0</v>
      </c>
      <c r="G201" s="124">
        <f t="shared" ref="G201:BD201" si="90">G202</f>
        <v>0</v>
      </c>
      <c r="H201" s="124">
        <f t="shared" si="90"/>
        <v>59326.95</v>
      </c>
      <c r="I201" s="124">
        <f t="shared" si="90"/>
        <v>0</v>
      </c>
      <c r="J201" s="124">
        <f t="shared" si="90"/>
        <v>550821.5</v>
      </c>
      <c r="K201" s="124">
        <f t="shared" si="90"/>
        <v>107015.27</v>
      </c>
      <c r="L201" s="124">
        <f t="shared" si="90"/>
        <v>184473.82</v>
      </c>
      <c r="M201" s="124">
        <f t="shared" si="90"/>
        <v>4076651</v>
      </c>
      <c r="N201" s="124">
        <f t="shared" si="90"/>
        <v>944244.18</v>
      </c>
      <c r="O201" s="124">
        <f t="shared" si="90"/>
        <v>0</v>
      </c>
      <c r="P201" s="124">
        <f t="shared" si="90"/>
        <v>3980473.88</v>
      </c>
      <c r="Q201" s="124">
        <f t="shared" si="90"/>
        <v>0</v>
      </c>
      <c r="R201" s="124">
        <f t="shared" si="90"/>
        <v>0</v>
      </c>
      <c r="S201" s="124">
        <f t="shared" si="90"/>
        <v>118265.76</v>
      </c>
      <c r="T201" s="124">
        <f t="shared" si="90"/>
        <v>50341.46</v>
      </c>
      <c r="U201" s="124">
        <f t="shared" si="90"/>
        <v>64675.15</v>
      </c>
      <c r="V201" s="124">
        <f t="shared" si="90"/>
        <v>0</v>
      </c>
      <c r="W201" s="124">
        <f t="shared" si="90"/>
        <v>0</v>
      </c>
      <c r="X201" s="124">
        <f t="shared" si="90"/>
        <v>0</v>
      </c>
      <c r="Y201" s="124">
        <f t="shared" si="90"/>
        <v>0</v>
      </c>
      <c r="Z201" s="124">
        <f t="shared" si="90"/>
        <v>0</v>
      </c>
      <c r="AA201" s="124">
        <f t="shared" si="90"/>
        <v>0</v>
      </c>
      <c r="AB201" s="124">
        <f t="shared" si="90"/>
        <v>0</v>
      </c>
      <c r="AC201" s="124">
        <f t="shared" si="90"/>
        <v>68838</v>
      </c>
      <c r="AD201" s="124">
        <f t="shared" si="90"/>
        <v>0</v>
      </c>
      <c r="AE201" s="124">
        <f t="shared" si="90"/>
        <v>0</v>
      </c>
      <c r="AF201" s="124">
        <f t="shared" si="90"/>
        <v>0</v>
      </c>
      <c r="AG201" s="124">
        <f t="shared" si="90"/>
        <v>0</v>
      </c>
      <c r="AH201" s="124">
        <f t="shared" si="90"/>
        <v>154949.35</v>
      </c>
      <c r="AI201" s="124">
        <f t="shared" si="90"/>
        <v>0</v>
      </c>
      <c r="AJ201" s="124">
        <f t="shared" si="90"/>
        <v>0</v>
      </c>
      <c r="AK201" s="124">
        <f t="shared" si="90"/>
        <v>224338.3</v>
      </c>
      <c r="AL201" s="124">
        <f t="shared" si="90"/>
        <v>0</v>
      </c>
      <c r="AM201" s="124">
        <f t="shared" si="90"/>
        <v>0</v>
      </c>
      <c r="AN201" s="124">
        <f t="shared" si="90"/>
        <v>0</v>
      </c>
      <c r="AO201" s="124">
        <f t="shared" si="90"/>
        <v>10000000</v>
      </c>
      <c r="AP201" s="124">
        <f t="shared" si="90"/>
        <v>0</v>
      </c>
      <c r="AQ201" s="124">
        <f t="shared" si="90"/>
        <v>0</v>
      </c>
      <c r="AR201" s="124">
        <f t="shared" si="90"/>
        <v>138049.29999999999</v>
      </c>
      <c r="AS201" s="124">
        <f t="shared" si="90"/>
        <v>0</v>
      </c>
      <c r="AT201" s="124">
        <f t="shared" si="90"/>
        <v>459322.45</v>
      </c>
      <c r="AU201" s="124">
        <f t="shared" si="90"/>
        <v>22500</v>
      </c>
      <c r="AV201" s="124">
        <f t="shared" si="90"/>
        <v>560727.44999999995</v>
      </c>
      <c r="AW201" s="124">
        <f t="shared" si="90"/>
        <v>0</v>
      </c>
      <c r="AX201" s="124">
        <f t="shared" si="90"/>
        <v>0</v>
      </c>
      <c r="AY201" s="124">
        <f t="shared" si="90"/>
        <v>0</v>
      </c>
      <c r="AZ201" s="124">
        <f t="shared" si="90"/>
        <v>0</v>
      </c>
      <c r="BA201" s="124">
        <f t="shared" si="90"/>
        <v>86886.6</v>
      </c>
      <c r="BB201" s="124">
        <f t="shared" si="90"/>
        <v>0</v>
      </c>
      <c r="BC201" s="124">
        <f t="shared" si="90"/>
        <v>824234.45</v>
      </c>
      <c r="BD201" s="124">
        <f t="shared" si="90"/>
        <v>0</v>
      </c>
      <c r="BE201" s="124">
        <f>SUM(F201:BD201)</f>
        <v>22676134.870000001</v>
      </c>
      <c r="BF201" s="124">
        <f>SUM(F201:X201)</f>
        <v>10136288.970000001</v>
      </c>
      <c r="BG201" s="124">
        <f>SUM(Y201:AJ201)</f>
        <v>223787.35</v>
      </c>
      <c r="BH201" s="124">
        <f>SUM(AK201:BD201)</f>
        <v>12316058.549999999</v>
      </c>
    </row>
    <row r="202" spans="3:60" ht="15" x14ac:dyDescent="0.25">
      <c r="D202" s="8">
        <v>2930</v>
      </c>
      <c r="E202" s="8" t="s">
        <v>260</v>
      </c>
      <c r="F202" s="13">
        <v>0</v>
      </c>
      <c r="G202" s="13">
        <v>0</v>
      </c>
      <c r="H202" s="13">
        <v>59326.95</v>
      </c>
      <c r="I202" s="13">
        <v>0</v>
      </c>
      <c r="J202" s="13">
        <v>550821.5</v>
      </c>
      <c r="K202" s="13">
        <v>107015.27</v>
      </c>
      <c r="L202" s="13">
        <v>184473.82</v>
      </c>
      <c r="M202" s="13">
        <v>4076651</v>
      </c>
      <c r="N202" s="13">
        <v>944244.18</v>
      </c>
      <c r="O202" s="13">
        <v>0</v>
      </c>
      <c r="P202" s="13">
        <v>3980473.88</v>
      </c>
      <c r="Q202" s="13">
        <v>0</v>
      </c>
      <c r="R202" s="13">
        <v>0</v>
      </c>
      <c r="S202" s="13">
        <v>118265.76</v>
      </c>
      <c r="T202" s="13">
        <v>50341.46</v>
      </c>
      <c r="U202" s="13">
        <v>64675.15</v>
      </c>
      <c r="V202" s="13">
        <v>0</v>
      </c>
      <c r="W202" s="13">
        <v>0</v>
      </c>
      <c r="X202" s="13">
        <v>0</v>
      </c>
      <c r="Y202" s="13">
        <v>0</v>
      </c>
      <c r="Z202" s="13">
        <v>0</v>
      </c>
      <c r="AA202" s="13">
        <v>0</v>
      </c>
      <c r="AB202" s="13">
        <v>0</v>
      </c>
      <c r="AC202" s="13">
        <v>68838</v>
      </c>
      <c r="AD202" s="13">
        <v>0</v>
      </c>
      <c r="AE202" s="13">
        <v>0</v>
      </c>
      <c r="AF202" s="13">
        <v>0</v>
      </c>
      <c r="AG202" s="13">
        <v>0</v>
      </c>
      <c r="AH202" s="13">
        <v>154949.35</v>
      </c>
      <c r="AI202" s="13">
        <v>0</v>
      </c>
      <c r="AJ202" s="13">
        <v>0</v>
      </c>
      <c r="AK202" s="13">
        <v>224338.3</v>
      </c>
      <c r="AL202" s="13">
        <v>0</v>
      </c>
      <c r="AM202" s="13">
        <v>0</v>
      </c>
      <c r="AN202" s="13">
        <v>0</v>
      </c>
      <c r="AO202" s="13">
        <v>10000000</v>
      </c>
      <c r="AP202" s="13">
        <v>0</v>
      </c>
      <c r="AQ202" s="13">
        <v>0</v>
      </c>
      <c r="AR202" s="13">
        <v>138049.29999999999</v>
      </c>
      <c r="AS202" s="13">
        <v>0</v>
      </c>
      <c r="AT202" s="13">
        <v>459322.45</v>
      </c>
      <c r="AU202" s="13">
        <v>22500</v>
      </c>
      <c r="AV202" s="13">
        <v>560727.44999999995</v>
      </c>
      <c r="AW202" s="13">
        <v>0</v>
      </c>
      <c r="AX202" s="13">
        <v>0</v>
      </c>
      <c r="AY202" s="13">
        <v>0</v>
      </c>
      <c r="AZ202" s="13">
        <v>0</v>
      </c>
      <c r="BA202" s="13">
        <v>86886.6</v>
      </c>
      <c r="BB202" s="13">
        <v>0</v>
      </c>
      <c r="BC202" s="13">
        <v>824234.45</v>
      </c>
      <c r="BD202" s="13">
        <v>0</v>
      </c>
      <c r="BE202" s="95">
        <f>SUM(F202:BD202)</f>
        <v>22676134.870000001</v>
      </c>
      <c r="BF202" s="95">
        <f>SUM(F202:X202)</f>
        <v>10136288.970000001</v>
      </c>
      <c r="BG202" s="95">
        <f>SUM(Y202:AJ202)</f>
        <v>223787.35</v>
      </c>
      <c r="BH202" s="95">
        <f>SUM(AK202:BD202)</f>
        <v>12316058.549999999</v>
      </c>
    </row>
    <row r="203" spans="3:60"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95"/>
      <c r="BF203" s="95"/>
      <c r="BG203" s="95"/>
      <c r="BH203" s="95"/>
    </row>
    <row r="204" spans="3:60" ht="15" x14ac:dyDescent="0.25">
      <c r="C204" s="123">
        <v>294</v>
      </c>
      <c r="D204" s="123"/>
      <c r="E204" s="123" t="s">
        <v>261</v>
      </c>
      <c r="F204" s="124">
        <f>F205</f>
        <v>320000</v>
      </c>
      <c r="G204" s="124">
        <f t="shared" ref="G204:BD204" si="91">G205</f>
        <v>0</v>
      </c>
      <c r="H204" s="124">
        <f t="shared" si="91"/>
        <v>52</v>
      </c>
      <c r="I204" s="124">
        <f t="shared" si="91"/>
        <v>184000</v>
      </c>
      <c r="J204" s="124">
        <f t="shared" si="91"/>
        <v>920000</v>
      </c>
      <c r="K204" s="124">
        <f t="shared" si="91"/>
        <v>600000</v>
      </c>
      <c r="L204" s="124">
        <f t="shared" si="91"/>
        <v>2002808.34</v>
      </c>
      <c r="M204" s="124">
        <f t="shared" si="91"/>
        <v>0</v>
      </c>
      <c r="N204" s="124">
        <f t="shared" si="91"/>
        <v>360000</v>
      </c>
      <c r="O204" s="124">
        <f t="shared" si="91"/>
        <v>0</v>
      </c>
      <c r="P204" s="124">
        <f t="shared" si="91"/>
        <v>637900</v>
      </c>
      <c r="Q204" s="124">
        <f t="shared" si="91"/>
        <v>0</v>
      </c>
      <c r="R204" s="124">
        <f t="shared" si="91"/>
        <v>20310.55</v>
      </c>
      <c r="S204" s="124">
        <f t="shared" si="91"/>
        <v>249000</v>
      </c>
      <c r="T204" s="124">
        <f t="shared" si="91"/>
        <v>0</v>
      </c>
      <c r="U204" s="124">
        <f t="shared" si="91"/>
        <v>390714.55</v>
      </c>
      <c r="V204" s="124">
        <f t="shared" si="91"/>
        <v>20000</v>
      </c>
      <c r="W204" s="124">
        <f t="shared" si="91"/>
        <v>30000</v>
      </c>
      <c r="X204" s="124">
        <f t="shared" si="91"/>
        <v>2304350</v>
      </c>
      <c r="Y204" s="124">
        <f t="shared" si="91"/>
        <v>200000</v>
      </c>
      <c r="Z204" s="124">
        <f t="shared" si="91"/>
        <v>2267.61</v>
      </c>
      <c r="AA204" s="124">
        <f t="shared" si="91"/>
        <v>9000000</v>
      </c>
      <c r="AB204" s="124">
        <f t="shared" si="91"/>
        <v>35000</v>
      </c>
      <c r="AC204" s="124">
        <f t="shared" si="91"/>
        <v>190000</v>
      </c>
      <c r="AD204" s="124">
        <f t="shared" si="91"/>
        <v>550000</v>
      </c>
      <c r="AE204" s="124">
        <f t="shared" si="91"/>
        <v>365000</v>
      </c>
      <c r="AF204" s="124">
        <f t="shared" si="91"/>
        <v>897550.65</v>
      </c>
      <c r="AG204" s="124">
        <f t="shared" si="91"/>
        <v>1166475.8999999999</v>
      </c>
      <c r="AH204" s="124">
        <f t="shared" si="91"/>
        <v>2200000</v>
      </c>
      <c r="AI204" s="124">
        <f t="shared" si="91"/>
        <v>230000</v>
      </c>
      <c r="AJ204" s="124">
        <f t="shared" si="91"/>
        <v>334000</v>
      </c>
      <c r="AK204" s="124">
        <f t="shared" si="91"/>
        <v>2480038.9700000002</v>
      </c>
      <c r="AL204" s="124">
        <f t="shared" si="91"/>
        <v>2379997.19</v>
      </c>
      <c r="AM204" s="124">
        <f t="shared" si="91"/>
        <v>207634.72</v>
      </c>
      <c r="AN204" s="124">
        <f t="shared" si="91"/>
        <v>0</v>
      </c>
      <c r="AO204" s="124">
        <f t="shared" si="91"/>
        <v>2000000</v>
      </c>
      <c r="AP204" s="124">
        <f t="shared" si="91"/>
        <v>242804.5</v>
      </c>
      <c r="AQ204" s="124">
        <f t="shared" si="91"/>
        <v>890000</v>
      </c>
      <c r="AR204" s="124">
        <f t="shared" si="91"/>
        <v>1626500.6</v>
      </c>
      <c r="AS204" s="124">
        <f t="shared" si="91"/>
        <v>275000</v>
      </c>
      <c r="AT204" s="124">
        <f t="shared" si="91"/>
        <v>280000</v>
      </c>
      <c r="AU204" s="124">
        <f t="shared" si="91"/>
        <v>300000</v>
      </c>
      <c r="AV204" s="124">
        <f t="shared" si="91"/>
        <v>913910.35</v>
      </c>
      <c r="AW204" s="124">
        <f t="shared" si="91"/>
        <v>1030000</v>
      </c>
      <c r="AX204" s="124">
        <f t="shared" si="91"/>
        <v>0</v>
      </c>
      <c r="AY204" s="124">
        <f t="shared" si="91"/>
        <v>300279.45</v>
      </c>
      <c r="AZ204" s="124">
        <f t="shared" si="91"/>
        <v>560000</v>
      </c>
      <c r="BA204" s="124">
        <f t="shared" si="91"/>
        <v>209758.45</v>
      </c>
      <c r="BB204" s="124">
        <f t="shared" si="91"/>
        <v>500000</v>
      </c>
      <c r="BC204" s="124">
        <f t="shared" si="91"/>
        <v>900000</v>
      </c>
      <c r="BD204" s="124">
        <f t="shared" si="91"/>
        <v>140000</v>
      </c>
      <c r="BE204" s="124">
        <f>SUM(F204:BD204)</f>
        <v>38445353.830000006</v>
      </c>
      <c r="BF204" s="124">
        <f>SUM(F204:X204)</f>
        <v>8039135.4399999995</v>
      </c>
      <c r="BG204" s="124">
        <f>SUM(Y204:AJ204)</f>
        <v>15170294.16</v>
      </c>
      <c r="BH204" s="124">
        <f>SUM(AK204:BD204)</f>
        <v>15235924.229999999</v>
      </c>
    </row>
    <row r="205" spans="3:60" ht="15" x14ac:dyDescent="0.25">
      <c r="D205" s="8">
        <v>2940</v>
      </c>
      <c r="E205" s="8" t="s">
        <v>261</v>
      </c>
      <c r="F205" s="13">
        <v>320000</v>
      </c>
      <c r="G205" s="13">
        <v>0</v>
      </c>
      <c r="H205" s="13">
        <v>52</v>
      </c>
      <c r="I205" s="13">
        <v>184000</v>
      </c>
      <c r="J205" s="13">
        <v>920000</v>
      </c>
      <c r="K205" s="13">
        <v>600000</v>
      </c>
      <c r="L205" s="13">
        <v>2002808.34</v>
      </c>
      <c r="M205" s="13">
        <v>0</v>
      </c>
      <c r="N205" s="13">
        <v>360000</v>
      </c>
      <c r="O205" s="13">
        <v>0</v>
      </c>
      <c r="P205" s="13">
        <v>637900</v>
      </c>
      <c r="Q205" s="13">
        <v>0</v>
      </c>
      <c r="R205" s="13">
        <v>20310.55</v>
      </c>
      <c r="S205" s="13">
        <v>249000</v>
      </c>
      <c r="T205" s="13">
        <v>0</v>
      </c>
      <c r="U205" s="13">
        <v>390714.55</v>
      </c>
      <c r="V205" s="13">
        <v>20000</v>
      </c>
      <c r="W205" s="13">
        <v>30000</v>
      </c>
      <c r="X205" s="13">
        <v>2304350</v>
      </c>
      <c r="Y205" s="13">
        <v>200000</v>
      </c>
      <c r="Z205" s="13">
        <v>2267.61</v>
      </c>
      <c r="AA205" s="13">
        <v>9000000</v>
      </c>
      <c r="AB205" s="13">
        <v>35000</v>
      </c>
      <c r="AC205" s="13">
        <v>190000</v>
      </c>
      <c r="AD205" s="13">
        <v>550000</v>
      </c>
      <c r="AE205" s="13">
        <v>365000</v>
      </c>
      <c r="AF205" s="13">
        <v>897550.65</v>
      </c>
      <c r="AG205" s="13">
        <v>1166475.8999999999</v>
      </c>
      <c r="AH205" s="13">
        <v>2200000</v>
      </c>
      <c r="AI205" s="13">
        <v>230000</v>
      </c>
      <c r="AJ205" s="13">
        <v>334000</v>
      </c>
      <c r="AK205" s="13">
        <v>2480038.9700000002</v>
      </c>
      <c r="AL205" s="13">
        <v>2379997.19</v>
      </c>
      <c r="AM205" s="13">
        <v>207634.72</v>
      </c>
      <c r="AN205" s="13">
        <v>0</v>
      </c>
      <c r="AO205" s="13">
        <v>2000000</v>
      </c>
      <c r="AP205" s="13">
        <v>242804.5</v>
      </c>
      <c r="AQ205" s="13">
        <v>890000</v>
      </c>
      <c r="AR205" s="13">
        <v>1626500.6</v>
      </c>
      <c r="AS205" s="13">
        <v>275000</v>
      </c>
      <c r="AT205" s="13">
        <v>280000</v>
      </c>
      <c r="AU205" s="13">
        <v>300000</v>
      </c>
      <c r="AV205" s="13">
        <v>913910.35</v>
      </c>
      <c r="AW205" s="13">
        <v>1030000</v>
      </c>
      <c r="AX205" s="13">
        <v>0</v>
      </c>
      <c r="AY205" s="13">
        <v>300279.45</v>
      </c>
      <c r="AZ205" s="13">
        <v>560000</v>
      </c>
      <c r="BA205" s="13">
        <v>209758.45</v>
      </c>
      <c r="BB205" s="13">
        <v>500000</v>
      </c>
      <c r="BC205" s="13">
        <v>900000</v>
      </c>
      <c r="BD205" s="13">
        <v>140000</v>
      </c>
      <c r="BE205" s="95">
        <f>SUM(F205:BD205)</f>
        <v>38445353.830000006</v>
      </c>
      <c r="BF205" s="95">
        <f>SUM(F205:X205)</f>
        <v>8039135.4399999995</v>
      </c>
      <c r="BG205" s="95">
        <f>SUM(Y205:AJ205)</f>
        <v>15170294.16</v>
      </c>
      <c r="BH205" s="95">
        <f>SUM(AK205:BD205)</f>
        <v>15235924.229999999</v>
      </c>
    </row>
    <row r="206" spans="3:60"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95"/>
      <c r="BF206" s="95"/>
      <c r="BG206" s="95"/>
      <c r="BH206" s="95"/>
    </row>
    <row r="207" spans="3:60" ht="15" x14ac:dyDescent="0.25">
      <c r="C207" s="123">
        <v>295</v>
      </c>
      <c r="D207" s="123"/>
      <c r="E207" s="123" t="s">
        <v>262</v>
      </c>
      <c r="F207" s="124">
        <f>F208</f>
        <v>235596.33</v>
      </c>
      <c r="G207" s="124">
        <f t="shared" ref="G207:BD207" si="92">G208</f>
        <v>0</v>
      </c>
      <c r="H207" s="124">
        <f>H208</f>
        <v>0</v>
      </c>
      <c r="I207" s="124">
        <f t="shared" si="92"/>
        <v>116941</v>
      </c>
      <c r="J207" s="124">
        <f t="shared" si="92"/>
        <v>514845.45</v>
      </c>
      <c r="K207" s="124">
        <f t="shared" si="92"/>
        <v>0</v>
      </c>
      <c r="L207" s="124">
        <f t="shared" si="92"/>
        <v>457458.05</v>
      </c>
      <c r="M207" s="124">
        <f t="shared" si="92"/>
        <v>2180296</v>
      </c>
      <c r="N207" s="124">
        <f t="shared" si="92"/>
        <v>333349.3</v>
      </c>
      <c r="O207" s="124">
        <f t="shared" si="92"/>
        <v>0</v>
      </c>
      <c r="P207" s="124">
        <f t="shared" si="92"/>
        <v>1780740.49</v>
      </c>
      <c r="Q207" s="124">
        <f t="shared" si="92"/>
        <v>139241.70000000001</v>
      </c>
      <c r="R207" s="124">
        <f t="shared" si="92"/>
        <v>0</v>
      </c>
      <c r="S207" s="124">
        <f t="shared" si="92"/>
        <v>0</v>
      </c>
      <c r="T207" s="124">
        <f t="shared" si="92"/>
        <v>0</v>
      </c>
      <c r="U207" s="124">
        <f t="shared" si="92"/>
        <v>0</v>
      </c>
      <c r="V207" s="124">
        <f t="shared" si="92"/>
        <v>11553.5</v>
      </c>
      <c r="W207" s="124">
        <f t="shared" si="92"/>
        <v>0</v>
      </c>
      <c r="X207" s="124">
        <f t="shared" si="92"/>
        <v>463921.5</v>
      </c>
      <c r="Y207" s="124">
        <f t="shared" si="92"/>
        <v>0</v>
      </c>
      <c r="Z207" s="124">
        <f t="shared" si="92"/>
        <v>0</v>
      </c>
      <c r="AA207" s="124">
        <f t="shared" si="92"/>
        <v>0</v>
      </c>
      <c r="AB207" s="124">
        <f t="shared" si="92"/>
        <v>0</v>
      </c>
      <c r="AC207" s="124">
        <f t="shared" si="92"/>
        <v>0</v>
      </c>
      <c r="AD207" s="124">
        <f t="shared" si="92"/>
        <v>0</v>
      </c>
      <c r="AE207" s="124">
        <f t="shared" si="92"/>
        <v>0</v>
      </c>
      <c r="AF207" s="124">
        <f t="shared" si="92"/>
        <v>0</v>
      </c>
      <c r="AG207" s="124">
        <f t="shared" si="92"/>
        <v>0</v>
      </c>
      <c r="AH207" s="124">
        <f t="shared" si="92"/>
        <v>0</v>
      </c>
      <c r="AI207" s="124">
        <f t="shared" si="92"/>
        <v>0</v>
      </c>
      <c r="AJ207" s="124">
        <f t="shared" si="92"/>
        <v>0</v>
      </c>
      <c r="AK207" s="124">
        <f t="shared" si="92"/>
        <v>0</v>
      </c>
      <c r="AL207" s="124">
        <f t="shared" si="92"/>
        <v>0</v>
      </c>
      <c r="AM207" s="124">
        <f t="shared" si="92"/>
        <v>0</v>
      </c>
      <c r="AN207" s="124">
        <f t="shared" si="92"/>
        <v>0</v>
      </c>
      <c r="AO207" s="124">
        <f t="shared" si="92"/>
        <v>0</v>
      </c>
      <c r="AP207" s="124">
        <f t="shared" si="92"/>
        <v>32221</v>
      </c>
      <c r="AQ207" s="124">
        <f t="shared" si="92"/>
        <v>23945</v>
      </c>
      <c r="AR207" s="124">
        <f t="shared" si="92"/>
        <v>0</v>
      </c>
      <c r="AS207" s="124">
        <f t="shared" si="92"/>
        <v>17321</v>
      </c>
      <c r="AT207" s="124">
        <f t="shared" si="92"/>
        <v>0</v>
      </c>
      <c r="AU207" s="124">
        <f t="shared" si="92"/>
        <v>14782</v>
      </c>
      <c r="AV207" s="124">
        <f t="shared" si="92"/>
        <v>0</v>
      </c>
      <c r="AW207" s="124">
        <f t="shared" si="92"/>
        <v>26802</v>
      </c>
      <c r="AX207" s="124">
        <f t="shared" si="92"/>
        <v>61431</v>
      </c>
      <c r="AY207" s="124">
        <f t="shared" si="92"/>
        <v>13197</v>
      </c>
      <c r="AZ207" s="124">
        <f t="shared" si="92"/>
        <v>68614</v>
      </c>
      <c r="BA207" s="124">
        <f t="shared" si="92"/>
        <v>13700</v>
      </c>
      <c r="BB207" s="124">
        <f t="shared" si="92"/>
        <v>46536.6</v>
      </c>
      <c r="BC207" s="124">
        <f t="shared" si="92"/>
        <v>0</v>
      </c>
      <c r="BD207" s="124">
        <f t="shared" si="92"/>
        <v>25680</v>
      </c>
      <c r="BE207" s="124">
        <f>SUM(F207:BD207)</f>
        <v>6578172.9199999999</v>
      </c>
      <c r="BF207" s="124">
        <f>SUM(F207:X207)</f>
        <v>6233943.3200000003</v>
      </c>
      <c r="BG207" s="124">
        <f>SUM(Y207:AJ207)</f>
        <v>0</v>
      </c>
      <c r="BH207" s="124">
        <f>SUM(AK207:BD207)</f>
        <v>344229.6</v>
      </c>
    </row>
    <row r="208" spans="3:60" ht="15" x14ac:dyDescent="0.25">
      <c r="D208" s="8">
        <v>2950</v>
      </c>
      <c r="E208" s="8" t="s">
        <v>262</v>
      </c>
      <c r="F208" s="13">
        <v>235596.33</v>
      </c>
      <c r="G208" s="13">
        <v>0</v>
      </c>
      <c r="H208" s="13">
        <v>0</v>
      </c>
      <c r="I208" s="13">
        <v>116941</v>
      </c>
      <c r="J208" s="13">
        <v>514845.45</v>
      </c>
      <c r="K208" s="13">
        <v>0</v>
      </c>
      <c r="L208" s="13">
        <v>457458.05</v>
      </c>
      <c r="M208" s="13">
        <v>2180296</v>
      </c>
      <c r="N208" s="13">
        <v>333349.3</v>
      </c>
      <c r="O208" s="13">
        <v>0</v>
      </c>
      <c r="P208" s="13">
        <v>1780740.49</v>
      </c>
      <c r="Q208" s="13">
        <v>139241.70000000001</v>
      </c>
      <c r="R208" s="13">
        <v>0</v>
      </c>
      <c r="S208" s="13">
        <v>0</v>
      </c>
      <c r="T208" s="13">
        <v>0</v>
      </c>
      <c r="U208" s="13">
        <v>0</v>
      </c>
      <c r="V208" s="13">
        <v>11553.5</v>
      </c>
      <c r="W208" s="13">
        <v>0</v>
      </c>
      <c r="X208" s="13">
        <v>463921.5</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32221</v>
      </c>
      <c r="AQ208" s="13">
        <v>23945</v>
      </c>
      <c r="AR208" s="13">
        <v>0</v>
      </c>
      <c r="AS208" s="13">
        <v>17321</v>
      </c>
      <c r="AT208" s="13">
        <v>0</v>
      </c>
      <c r="AU208" s="13">
        <v>14782</v>
      </c>
      <c r="AV208" s="13">
        <v>0</v>
      </c>
      <c r="AW208" s="13">
        <v>26802</v>
      </c>
      <c r="AX208" s="13">
        <v>61431</v>
      </c>
      <c r="AY208" s="13">
        <v>13197</v>
      </c>
      <c r="AZ208" s="13">
        <v>68614</v>
      </c>
      <c r="BA208" s="13">
        <v>13700</v>
      </c>
      <c r="BB208" s="13">
        <v>46536.6</v>
      </c>
      <c r="BC208" s="13">
        <v>0</v>
      </c>
      <c r="BD208" s="13">
        <v>25680</v>
      </c>
      <c r="BE208" s="95">
        <f>SUM(F208:BD208)</f>
        <v>6578172.9199999999</v>
      </c>
      <c r="BF208" s="95">
        <f>SUM(F208:X208)</f>
        <v>6233943.3200000003</v>
      </c>
      <c r="BG208" s="95">
        <f>SUM(Y208:AJ208)</f>
        <v>0</v>
      </c>
      <c r="BH208" s="95">
        <f>SUM(AK208:BD208)</f>
        <v>344229.6</v>
      </c>
    </row>
    <row r="209" spans="3:61"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95"/>
      <c r="BF209" s="95"/>
      <c r="BG209" s="95"/>
      <c r="BH209" s="95"/>
    </row>
    <row r="210" spans="3:61" ht="15" x14ac:dyDescent="0.25">
      <c r="C210" s="123">
        <v>296</v>
      </c>
      <c r="D210" s="123"/>
      <c r="E210" s="123" t="s">
        <v>263</v>
      </c>
      <c r="F210" s="124">
        <f>F211</f>
        <v>0</v>
      </c>
      <c r="G210" s="124">
        <f t="shared" ref="G210:BD210" si="93">G211</f>
        <v>0</v>
      </c>
      <c r="H210" s="124">
        <f t="shared" si="93"/>
        <v>0</v>
      </c>
      <c r="I210" s="124">
        <f t="shared" si="93"/>
        <v>0</v>
      </c>
      <c r="J210" s="124">
        <f t="shared" si="93"/>
        <v>0</v>
      </c>
      <c r="K210" s="124">
        <f t="shared" si="93"/>
        <v>0</v>
      </c>
      <c r="L210" s="124">
        <f t="shared" si="93"/>
        <v>0</v>
      </c>
      <c r="M210" s="124">
        <f t="shared" si="93"/>
        <v>0</v>
      </c>
      <c r="N210" s="124">
        <f t="shared" si="93"/>
        <v>0</v>
      </c>
      <c r="O210" s="124">
        <f t="shared" si="93"/>
        <v>0</v>
      </c>
      <c r="P210" s="124">
        <f t="shared" si="93"/>
        <v>0</v>
      </c>
      <c r="Q210" s="124">
        <f t="shared" si="93"/>
        <v>144566.42000000001</v>
      </c>
      <c r="R210" s="124">
        <f t="shared" si="93"/>
        <v>0</v>
      </c>
      <c r="S210" s="124">
        <f t="shared" si="93"/>
        <v>0</v>
      </c>
      <c r="T210" s="124">
        <f t="shared" si="93"/>
        <v>0</v>
      </c>
      <c r="U210" s="124">
        <f t="shared" si="93"/>
        <v>0</v>
      </c>
      <c r="V210" s="124">
        <f t="shared" si="93"/>
        <v>0</v>
      </c>
      <c r="W210" s="124">
        <f t="shared" si="93"/>
        <v>0</v>
      </c>
      <c r="X210" s="124">
        <f t="shared" si="93"/>
        <v>0</v>
      </c>
      <c r="Y210" s="124">
        <f t="shared" si="93"/>
        <v>0</v>
      </c>
      <c r="Z210" s="124">
        <f t="shared" si="93"/>
        <v>0</v>
      </c>
      <c r="AA210" s="124">
        <f t="shared" si="93"/>
        <v>1104064</v>
      </c>
      <c r="AB210" s="124">
        <f t="shared" si="93"/>
        <v>0</v>
      </c>
      <c r="AC210" s="124">
        <f t="shared" si="93"/>
        <v>0</v>
      </c>
      <c r="AD210" s="124">
        <f t="shared" si="93"/>
        <v>396127.05</v>
      </c>
      <c r="AE210" s="124">
        <f t="shared" si="93"/>
        <v>0</v>
      </c>
      <c r="AF210" s="124">
        <f t="shared" si="93"/>
        <v>0</v>
      </c>
      <c r="AG210" s="124">
        <f t="shared" si="93"/>
        <v>0</v>
      </c>
      <c r="AH210" s="124">
        <f t="shared" si="93"/>
        <v>0</v>
      </c>
      <c r="AI210" s="124">
        <f t="shared" si="93"/>
        <v>0</v>
      </c>
      <c r="AJ210" s="124">
        <f t="shared" si="93"/>
        <v>0</v>
      </c>
      <c r="AK210" s="124">
        <f t="shared" si="93"/>
        <v>0</v>
      </c>
      <c r="AL210" s="124">
        <f t="shared" si="93"/>
        <v>0</v>
      </c>
      <c r="AM210" s="124">
        <f t="shared" si="93"/>
        <v>0</v>
      </c>
      <c r="AN210" s="124">
        <f t="shared" si="93"/>
        <v>0</v>
      </c>
      <c r="AO210" s="124">
        <f t="shared" si="93"/>
        <v>0</v>
      </c>
      <c r="AP210" s="124">
        <f t="shared" si="93"/>
        <v>0</v>
      </c>
      <c r="AQ210" s="124">
        <f t="shared" si="93"/>
        <v>0</v>
      </c>
      <c r="AR210" s="124">
        <f t="shared" si="93"/>
        <v>0</v>
      </c>
      <c r="AS210" s="124">
        <f t="shared" si="93"/>
        <v>0</v>
      </c>
      <c r="AT210" s="124">
        <f t="shared" si="93"/>
        <v>3679</v>
      </c>
      <c r="AU210" s="124">
        <f t="shared" si="93"/>
        <v>0</v>
      </c>
      <c r="AV210" s="124">
        <f t="shared" si="93"/>
        <v>0</v>
      </c>
      <c r="AW210" s="124">
        <f t="shared" si="93"/>
        <v>0</v>
      </c>
      <c r="AX210" s="124">
        <f t="shared" si="93"/>
        <v>60284</v>
      </c>
      <c r="AY210" s="124">
        <f t="shared" si="93"/>
        <v>0</v>
      </c>
      <c r="AZ210" s="124">
        <f t="shared" si="93"/>
        <v>0</v>
      </c>
      <c r="BA210" s="124">
        <f t="shared" si="93"/>
        <v>0</v>
      </c>
      <c r="BB210" s="124">
        <f t="shared" si="93"/>
        <v>0</v>
      </c>
      <c r="BC210" s="124">
        <f t="shared" si="93"/>
        <v>0</v>
      </c>
      <c r="BD210" s="124">
        <f t="shared" si="93"/>
        <v>0</v>
      </c>
      <c r="BE210" s="124">
        <f>SUM(F210:BD210)</f>
        <v>1708720.47</v>
      </c>
      <c r="BF210" s="124">
        <f>SUM(F210:X210)</f>
        <v>144566.42000000001</v>
      </c>
      <c r="BG210" s="124">
        <f>SUM(Y210:AJ210)</f>
        <v>1500191.05</v>
      </c>
      <c r="BH210" s="124">
        <f>SUM(AK210:BD210)</f>
        <v>63963</v>
      </c>
    </row>
    <row r="211" spans="3:61" ht="15" x14ac:dyDescent="0.25">
      <c r="D211" s="8">
        <v>2960</v>
      </c>
      <c r="E211" s="8" t="s">
        <v>263</v>
      </c>
      <c r="F211" s="13">
        <v>0</v>
      </c>
      <c r="G211" s="13">
        <v>0</v>
      </c>
      <c r="H211" s="13">
        <v>0</v>
      </c>
      <c r="I211" s="13">
        <v>0</v>
      </c>
      <c r="J211" s="13">
        <v>0</v>
      </c>
      <c r="K211" s="13">
        <v>0</v>
      </c>
      <c r="L211" s="13">
        <v>0</v>
      </c>
      <c r="M211" s="13">
        <v>0</v>
      </c>
      <c r="N211" s="13">
        <v>0</v>
      </c>
      <c r="O211" s="13">
        <v>0</v>
      </c>
      <c r="P211" s="13">
        <v>0</v>
      </c>
      <c r="Q211" s="13">
        <v>144566.42000000001</v>
      </c>
      <c r="R211" s="13">
        <v>0</v>
      </c>
      <c r="S211" s="13">
        <v>0</v>
      </c>
      <c r="T211" s="13">
        <v>0</v>
      </c>
      <c r="U211" s="13">
        <v>0</v>
      </c>
      <c r="V211" s="13">
        <v>0</v>
      </c>
      <c r="W211" s="13">
        <v>0</v>
      </c>
      <c r="X211" s="13">
        <v>0</v>
      </c>
      <c r="Y211" s="13">
        <v>0</v>
      </c>
      <c r="Z211" s="13">
        <v>0</v>
      </c>
      <c r="AA211" s="13">
        <v>1104064</v>
      </c>
      <c r="AB211" s="13">
        <v>0</v>
      </c>
      <c r="AC211" s="13">
        <v>0</v>
      </c>
      <c r="AD211" s="13">
        <v>396127.05</v>
      </c>
      <c r="AE211" s="13">
        <v>0</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3679</v>
      </c>
      <c r="AU211" s="13">
        <v>0</v>
      </c>
      <c r="AV211" s="13">
        <v>0</v>
      </c>
      <c r="AW211" s="13">
        <v>0</v>
      </c>
      <c r="AX211" s="13">
        <v>60284</v>
      </c>
      <c r="AY211" s="13">
        <v>0</v>
      </c>
      <c r="AZ211" s="13">
        <v>0</v>
      </c>
      <c r="BA211" s="13">
        <v>0</v>
      </c>
      <c r="BB211" s="13">
        <v>0</v>
      </c>
      <c r="BC211" s="13">
        <v>0</v>
      </c>
      <c r="BD211" s="13">
        <v>0</v>
      </c>
      <c r="BE211" s="95">
        <f>SUM(F211:BD211)</f>
        <v>1708720.47</v>
      </c>
      <c r="BF211" s="95">
        <f>SUM(F211:X211)</f>
        <v>144566.42000000001</v>
      </c>
      <c r="BG211" s="95">
        <f>SUM(Y211:AJ211)</f>
        <v>1500191.05</v>
      </c>
      <c r="BH211" s="95">
        <f>SUM(AK211:BD211)</f>
        <v>63963</v>
      </c>
    </row>
    <row r="212" spans="3:61"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95"/>
      <c r="BF212" s="95"/>
      <c r="BG212" s="95"/>
      <c r="BH212" s="95"/>
    </row>
    <row r="213" spans="3:61" ht="15" x14ac:dyDescent="0.25">
      <c r="C213" s="123">
        <v>298</v>
      </c>
      <c r="D213" s="123"/>
      <c r="E213" s="123" t="s">
        <v>264</v>
      </c>
      <c r="F213" s="124">
        <f>F214</f>
        <v>0</v>
      </c>
      <c r="G213" s="124">
        <f t="shared" ref="G213:BD213" si="94">G214</f>
        <v>0</v>
      </c>
      <c r="H213" s="124">
        <f t="shared" si="94"/>
        <v>0</v>
      </c>
      <c r="I213" s="124">
        <f t="shared" si="94"/>
        <v>0</v>
      </c>
      <c r="J213" s="124">
        <f t="shared" si="94"/>
        <v>0</v>
      </c>
      <c r="K213" s="124">
        <f t="shared" si="94"/>
        <v>0</v>
      </c>
      <c r="L213" s="124">
        <f t="shared" si="94"/>
        <v>0</v>
      </c>
      <c r="M213" s="124">
        <f t="shared" si="94"/>
        <v>0</v>
      </c>
      <c r="N213" s="124">
        <f t="shared" si="94"/>
        <v>0</v>
      </c>
      <c r="O213" s="124">
        <f t="shared" si="94"/>
        <v>0</v>
      </c>
      <c r="P213" s="124">
        <f t="shared" si="94"/>
        <v>0</v>
      </c>
      <c r="Q213" s="124">
        <f t="shared" si="94"/>
        <v>0</v>
      </c>
      <c r="R213" s="124">
        <f t="shared" si="94"/>
        <v>0</v>
      </c>
      <c r="S213" s="124">
        <f t="shared" si="94"/>
        <v>0</v>
      </c>
      <c r="T213" s="124">
        <f t="shared" si="94"/>
        <v>0</v>
      </c>
      <c r="U213" s="124">
        <f t="shared" si="94"/>
        <v>0</v>
      </c>
      <c r="V213" s="124">
        <f t="shared" si="94"/>
        <v>0</v>
      </c>
      <c r="W213" s="124">
        <f t="shared" si="94"/>
        <v>0</v>
      </c>
      <c r="X213" s="124">
        <f t="shared" si="94"/>
        <v>0</v>
      </c>
      <c r="Y213" s="124">
        <f t="shared" si="94"/>
        <v>0</v>
      </c>
      <c r="Z213" s="124">
        <f t="shared" si="94"/>
        <v>0</v>
      </c>
      <c r="AA213" s="124">
        <f t="shared" si="94"/>
        <v>0</v>
      </c>
      <c r="AB213" s="124">
        <f t="shared" si="94"/>
        <v>0</v>
      </c>
      <c r="AC213" s="124">
        <f t="shared" si="94"/>
        <v>0</v>
      </c>
      <c r="AD213" s="124">
        <f t="shared" si="94"/>
        <v>0</v>
      </c>
      <c r="AE213" s="124">
        <f t="shared" si="94"/>
        <v>0</v>
      </c>
      <c r="AF213" s="124">
        <f t="shared" si="94"/>
        <v>0</v>
      </c>
      <c r="AG213" s="124">
        <f t="shared" si="94"/>
        <v>0</v>
      </c>
      <c r="AH213" s="124">
        <f t="shared" si="94"/>
        <v>0</v>
      </c>
      <c r="AI213" s="124">
        <f t="shared" si="94"/>
        <v>0</v>
      </c>
      <c r="AJ213" s="124">
        <f t="shared" si="94"/>
        <v>0</v>
      </c>
      <c r="AK213" s="124">
        <f t="shared" si="94"/>
        <v>0</v>
      </c>
      <c r="AL213" s="124">
        <f t="shared" si="94"/>
        <v>0</v>
      </c>
      <c r="AM213" s="124">
        <f t="shared" si="94"/>
        <v>0</v>
      </c>
      <c r="AN213" s="124">
        <f t="shared" si="94"/>
        <v>0</v>
      </c>
      <c r="AO213" s="124">
        <f t="shared" si="94"/>
        <v>0</v>
      </c>
      <c r="AP213" s="124">
        <f t="shared" si="94"/>
        <v>0</v>
      </c>
      <c r="AQ213" s="124">
        <f t="shared" si="94"/>
        <v>0</v>
      </c>
      <c r="AR213" s="124">
        <f t="shared" si="94"/>
        <v>0</v>
      </c>
      <c r="AS213" s="124">
        <f t="shared" si="94"/>
        <v>0</v>
      </c>
      <c r="AT213" s="124">
        <f t="shared" si="94"/>
        <v>0</v>
      </c>
      <c r="AU213" s="124">
        <f t="shared" si="94"/>
        <v>85523.05</v>
      </c>
      <c r="AV213" s="124">
        <f t="shared" si="94"/>
        <v>0</v>
      </c>
      <c r="AW213" s="124">
        <f t="shared" si="94"/>
        <v>0</v>
      </c>
      <c r="AX213" s="124">
        <f t="shared" si="94"/>
        <v>0</v>
      </c>
      <c r="AY213" s="124">
        <f t="shared" si="94"/>
        <v>0</v>
      </c>
      <c r="AZ213" s="124">
        <f t="shared" si="94"/>
        <v>0</v>
      </c>
      <c r="BA213" s="124">
        <f t="shared" si="94"/>
        <v>0</v>
      </c>
      <c r="BB213" s="124">
        <f t="shared" si="94"/>
        <v>0</v>
      </c>
      <c r="BC213" s="124">
        <f t="shared" si="94"/>
        <v>0</v>
      </c>
      <c r="BD213" s="124">
        <f t="shared" si="94"/>
        <v>0</v>
      </c>
      <c r="BE213" s="124">
        <f>SUM(F213:BD213)</f>
        <v>85523.05</v>
      </c>
      <c r="BF213" s="124">
        <f>SUM(F213:X213)</f>
        <v>0</v>
      </c>
      <c r="BG213" s="124">
        <f>SUM(Y213:AJ213)</f>
        <v>0</v>
      </c>
      <c r="BH213" s="124">
        <f>SUM(AK213:BD213)</f>
        <v>85523.05</v>
      </c>
    </row>
    <row r="214" spans="3:61"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85523.05</v>
      </c>
      <c r="AV214" s="13">
        <v>0</v>
      </c>
      <c r="AW214" s="13">
        <v>0</v>
      </c>
      <c r="AX214" s="13">
        <v>0</v>
      </c>
      <c r="AY214" s="13">
        <v>0</v>
      </c>
      <c r="AZ214" s="13">
        <v>0</v>
      </c>
      <c r="BA214" s="13">
        <v>0</v>
      </c>
      <c r="BB214" s="13">
        <v>0</v>
      </c>
      <c r="BC214" s="13">
        <v>0</v>
      </c>
      <c r="BD214" s="13">
        <v>0</v>
      </c>
      <c r="BE214" s="95">
        <f>SUM(F214:BD214)</f>
        <v>85523.05</v>
      </c>
      <c r="BF214" s="95">
        <f>SUM(F214:X214)</f>
        <v>0</v>
      </c>
      <c r="BG214" s="95">
        <f>SUM(Y214:AJ214)</f>
        <v>0</v>
      </c>
      <c r="BH214" s="95">
        <f>SUM(AK214:BD214)</f>
        <v>85523.05</v>
      </c>
    </row>
    <row r="215" spans="3:61"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95"/>
      <c r="BF215" s="95"/>
      <c r="BG215" s="95"/>
      <c r="BH215" s="95"/>
    </row>
    <row r="216" spans="3:61" ht="15" x14ac:dyDescent="0.25">
      <c r="C216" s="123">
        <v>299</v>
      </c>
      <c r="D216" s="123"/>
      <c r="E216" s="123" t="s">
        <v>438</v>
      </c>
      <c r="F216" s="194">
        <f>F217+F218</f>
        <v>1886110.4900000002</v>
      </c>
      <c r="G216" s="194">
        <f t="shared" ref="G216:BD216" si="95">G217+G218</f>
        <v>11382.479999999996</v>
      </c>
      <c r="H216" s="194">
        <f t="shared" si="95"/>
        <v>147527.20000000001</v>
      </c>
      <c r="I216" s="194">
        <f t="shared" si="95"/>
        <v>942114.51</v>
      </c>
      <c r="J216" s="194">
        <f t="shared" si="95"/>
        <v>5329910.5599999996</v>
      </c>
      <c r="K216" s="194">
        <f t="shared" si="95"/>
        <v>2666018.04</v>
      </c>
      <c r="L216" s="194">
        <f t="shared" si="95"/>
        <v>6542969.2000000002</v>
      </c>
      <c r="M216" s="194">
        <f t="shared" si="95"/>
        <v>-4795601.3900000006</v>
      </c>
      <c r="N216" s="194">
        <f t="shared" si="95"/>
        <v>819878.64</v>
      </c>
      <c r="O216" s="194">
        <f t="shared" si="95"/>
        <v>532616.70000000007</v>
      </c>
      <c r="P216" s="194">
        <f t="shared" si="95"/>
        <v>101716.69999999995</v>
      </c>
      <c r="Q216" s="194">
        <f t="shared" si="95"/>
        <v>397718.22000000003</v>
      </c>
      <c r="R216" s="194">
        <f t="shared" si="95"/>
        <v>16756.349999999999</v>
      </c>
      <c r="S216" s="194">
        <f t="shared" si="95"/>
        <v>319970.86</v>
      </c>
      <c r="T216" s="198">
        <f t="shared" si="95"/>
        <v>-28859.170000000002</v>
      </c>
      <c r="U216" s="194">
        <f t="shared" si="95"/>
        <v>1131111.26</v>
      </c>
      <c r="V216" s="194">
        <f t="shared" si="95"/>
        <v>288162.19</v>
      </c>
      <c r="W216" s="194">
        <f t="shared" si="95"/>
        <v>172301.24</v>
      </c>
      <c r="X216" s="194">
        <f t="shared" si="95"/>
        <v>2037972.33</v>
      </c>
      <c r="Y216" s="194">
        <f t="shared" si="95"/>
        <v>2497296.14</v>
      </c>
      <c r="Z216" s="194">
        <f t="shared" si="95"/>
        <v>4711256.0600000005</v>
      </c>
      <c r="AA216" s="194">
        <f t="shared" si="95"/>
        <v>15665171.51</v>
      </c>
      <c r="AB216" s="194">
        <f t="shared" si="95"/>
        <v>1090634.4099999999</v>
      </c>
      <c r="AC216" s="194">
        <f t="shared" si="95"/>
        <v>551237.42999999993</v>
      </c>
      <c r="AD216" s="194">
        <f t="shared" si="95"/>
        <v>581647.9800000001</v>
      </c>
      <c r="AE216" s="194">
        <f t="shared" si="95"/>
        <v>1032492.21</v>
      </c>
      <c r="AF216" s="194">
        <f t="shared" si="95"/>
        <v>4519001.37</v>
      </c>
      <c r="AG216" s="194">
        <f t="shared" si="95"/>
        <v>7685794.7699999996</v>
      </c>
      <c r="AH216" s="194">
        <f t="shared" si="95"/>
        <v>2209258.59</v>
      </c>
      <c r="AI216" s="194">
        <f t="shared" si="95"/>
        <v>1121985.9300000002</v>
      </c>
      <c r="AJ216" s="194">
        <f t="shared" si="95"/>
        <v>1367220.23</v>
      </c>
      <c r="AK216" s="194">
        <f t="shared" si="95"/>
        <v>1248446.46</v>
      </c>
      <c r="AL216" s="194">
        <f t="shared" si="95"/>
        <v>3451846.7399999998</v>
      </c>
      <c r="AM216" s="194">
        <f t="shared" si="95"/>
        <v>2621933.09</v>
      </c>
      <c r="AN216" s="194">
        <f t="shared" si="95"/>
        <v>1043660.14</v>
      </c>
      <c r="AO216" s="194">
        <f t="shared" si="95"/>
        <v>9447073.5999999996</v>
      </c>
      <c r="AP216" s="194">
        <f t="shared" si="95"/>
        <v>1316921.74</v>
      </c>
      <c r="AQ216" s="194">
        <f t="shared" si="95"/>
        <v>1201638.7799999998</v>
      </c>
      <c r="AR216" s="194">
        <f t="shared" si="95"/>
        <v>7572979.3200000003</v>
      </c>
      <c r="AS216" s="194">
        <f t="shared" si="95"/>
        <v>258088.52000000002</v>
      </c>
      <c r="AT216" s="194">
        <f t="shared" si="95"/>
        <v>453199.33999999997</v>
      </c>
      <c r="AU216" s="194">
        <f t="shared" si="95"/>
        <v>2936064.3200000003</v>
      </c>
      <c r="AV216" s="194">
        <f t="shared" si="95"/>
        <v>4891953.6399999997</v>
      </c>
      <c r="AW216" s="194">
        <f t="shared" si="95"/>
        <v>630647.31000000006</v>
      </c>
      <c r="AX216" s="194">
        <f t="shared" si="95"/>
        <v>1518541.6800000002</v>
      </c>
      <c r="AY216" s="194">
        <f t="shared" si="95"/>
        <v>97902.75999999998</v>
      </c>
      <c r="AZ216" s="194">
        <f t="shared" si="95"/>
        <v>2013578.9300000002</v>
      </c>
      <c r="BA216" s="194">
        <f t="shared" si="95"/>
        <v>1476780.16</v>
      </c>
      <c r="BB216" s="194">
        <f t="shared" si="95"/>
        <v>2907224.8</v>
      </c>
      <c r="BC216" s="194">
        <f t="shared" si="95"/>
        <v>328740.39</v>
      </c>
      <c r="BD216" s="194">
        <f t="shared" si="95"/>
        <v>847188.93</v>
      </c>
      <c r="BE216" s="194">
        <f>SUM(F216:BD216)</f>
        <v>107817183.69000003</v>
      </c>
      <c r="BF216" s="194">
        <f>SUM(F216:X216)</f>
        <v>18519776.409999996</v>
      </c>
      <c r="BG216" s="194">
        <f>SUM(Y216:AJ216)</f>
        <v>43032996.629999995</v>
      </c>
      <c r="BH216" s="194">
        <f>SUM(AK216:BD216)</f>
        <v>46264410.649999991</v>
      </c>
    </row>
    <row r="217" spans="3:61" ht="15" x14ac:dyDescent="0.25">
      <c r="D217" s="8">
        <v>2990</v>
      </c>
      <c r="E217" s="8" t="s">
        <v>438</v>
      </c>
      <c r="F217" s="19">
        <v>23179.87</v>
      </c>
      <c r="G217" s="19">
        <v>114823.3</v>
      </c>
      <c r="H217" s="19">
        <v>51061.06</v>
      </c>
      <c r="I217" s="19">
        <v>-62293.63</v>
      </c>
      <c r="J217" s="19">
        <v>33918.5</v>
      </c>
      <c r="K217" s="19">
        <v>490967.6</v>
      </c>
      <c r="L217" s="19">
        <v>15593.4</v>
      </c>
      <c r="M217" s="19">
        <v>-2174361.6000000001</v>
      </c>
      <c r="N217" s="19">
        <v>30502.48</v>
      </c>
      <c r="O217" s="19">
        <v>-15903.22</v>
      </c>
      <c r="P217" s="19">
        <v>-610295.42000000004</v>
      </c>
      <c r="Q217" s="19">
        <v>129779.38</v>
      </c>
      <c r="R217" s="19">
        <v>-40694.730000000003</v>
      </c>
      <c r="S217" s="19">
        <v>50997.63</v>
      </c>
      <c r="T217" s="19">
        <v>-37329.83</v>
      </c>
      <c r="U217" s="19">
        <v>60782.33</v>
      </c>
      <c r="V217" s="19">
        <v>9611.35</v>
      </c>
      <c r="W217" s="19">
        <v>25754.84</v>
      </c>
      <c r="X217" s="19">
        <v>57003.82</v>
      </c>
      <c r="Y217" s="19">
        <v>43384.87</v>
      </c>
      <c r="Z217" s="19">
        <v>935477.29</v>
      </c>
      <c r="AA217" s="19">
        <v>2357312.52</v>
      </c>
      <c r="AB217" s="19">
        <v>-8997.33</v>
      </c>
      <c r="AC217" s="19">
        <v>-260378.03</v>
      </c>
      <c r="AD217" s="19">
        <v>3071.68</v>
      </c>
      <c r="AE217" s="19">
        <v>1023.72</v>
      </c>
      <c r="AF217" s="19">
        <v>49294.34</v>
      </c>
      <c r="AG217" s="19">
        <v>1399806.94</v>
      </c>
      <c r="AH217" s="19">
        <v>217683.4</v>
      </c>
      <c r="AI217" s="19">
        <v>1520.35</v>
      </c>
      <c r="AJ217" s="19">
        <v>4424.6499999999996</v>
      </c>
      <c r="AK217" s="19">
        <v>53241</v>
      </c>
      <c r="AL217" s="19">
        <v>20312.21</v>
      </c>
      <c r="AM217" s="19">
        <v>46649.919999999998</v>
      </c>
      <c r="AN217" s="19">
        <v>13050.46</v>
      </c>
      <c r="AO217" s="19">
        <v>116926.76</v>
      </c>
      <c r="AP217" s="19">
        <v>-470965.71</v>
      </c>
      <c r="AQ217" s="19">
        <v>57276.38</v>
      </c>
      <c r="AR217" s="19">
        <v>3214.63</v>
      </c>
      <c r="AS217" s="19">
        <v>-103783.8</v>
      </c>
      <c r="AT217" s="19">
        <v>69833.289999999994</v>
      </c>
      <c r="AU217" s="19">
        <v>272506.28000000003</v>
      </c>
      <c r="AV217" s="19">
        <v>-141893.21</v>
      </c>
      <c r="AW217" s="19">
        <v>3493.65</v>
      </c>
      <c r="AX217" s="19">
        <v>375240.59</v>
      </c>
      <c r="AY217" s="19">
        <v>-55185.51</v>
      </c>
      <c r="AZ217" s="19">
        <v>35960.61</v>
      </c>
      <c r="BA217" s="19">
        <v>2149.66</v>
      </c>
      <c r="BB217" s="19">
        <v>23950.09</v>
      </c>
      <c r="BC217" s="19">
        <v>-428001.87</v>
      </c>
      <c r="BD217" s="19">
        <v>107918.37</v>
      </c>
      <c r="BE217" s="125">
        <f>SUM(F217:BD217)</f>
        <v>2898615.3299999991</v>
      </c>
      <c r="BF217" s="125">
        <f>SUM(F217:X217)</f>
        <v>-1846902.87</v>
      </c>
      <c r="BG217" s="125">
        <f>SUM(Y217:AJ217)</f>
        <v>4743624.4000000004</v>
      </c>
      <c r="BH217" s="125">
        <f>SUM(AK217:BD217)</f>
        <v>1893.7999999999884</v>
      </c>
      <c r="BI217" s="19"/>
    </row>
    <row r="218" spans="3:61" ht="15" x14ac:dyDescent="0.25">
      <c r="D218" s="8">
        <v>2999</v>
      </c>
      <c r="E218" s="8" t="s">
        <v>815</v>
      </c>
      <c r="F218" s="19">
        <v>1862930.62</v>
      </c>
      <c r="G218" s="19">
        <v>-103440.82</v>
      </c>
      <c r="H218" s="19">
        <v>96466.14</v>
      </c>
      <c r="I218" s="19">
        <v>1004408.14</v>
      </c>
      <c r="J218" s="19">
        <v>5295992.0599999996</v>
      </c>
      <c r="K218" s="19">
        <v>2175050.44</v>
      </c>
      <c r="L218" s="19">
        <v>6527375.7999999998</v>
      </c>
      <c r="M218" s="19">
        <v>-2621239.79</v>
      </c>
      <c r="N218" s="19">
        <v>789376.16</v>
      </c>
      <c r="O218" s="19">
        <v>548519.92000000004</v>
      </c>
      <c r="P218" s="20">
        <v>712012.12</v>
      </c>
      <c r="Q218" s="19">
        <v>267938.84000000003</v>
      </c>
      <c r="R218" s="19">
        <v>57451.08</v>
      </c>
      <c r="S218" s="19">
        <v>268973.23</v>
      </c>
      <c r="T218" s="19">
        <v>8470.66</v>
      </c>
      <c r="U218" s="19">
        <v>1070328.93</v>
      </c>
      <c r="V218" s="19">
        <v>278550.84000000003</v>
      </c>
      <c r="W218" s="19">
        <v>146546.4</v>
      </c>
      <c r="X218" s="19">
        <v>1980968.51</v>
      </c>
      <c r="Y218" s="19">
        <v>2453911.27</v>
      </c>
      <c r="Z218" s="19">
        <v>3775778.77</v>
      </c>
      <c r="AA218" s="19">
        <v>13307858.99</v>
      </c>
      <c r="AB218" s="19">
        <v>1099631.74</v>
      </c>
      <c r="AC218" s="19">
        <v>811615.46</v>
      </c>
      <c r="AD218" s="19">
        <v>578576.30000000005</v>
      </c>
      <c r="AE218" s="19">
        <v>1031468.49</v>
      </c>
      <c r="AF218" s="19">
        <v>4469707.03</v>
      </c>
      <c r="AG218" s="19">
        <v>6285987.8300000001</v>
      </c>
      <c r="AH218" s="19">
        <v>1991575.19</v>
      </c>
      <c r="AI218" s="19">
        <v>1120465.58</v>
      </c>
      <c r="AJ218" s="19">
        <v>1362795.58</v>
      </c>
      <c r="AK218" s="19">
        <v>1195205.46</v>
      </c>
      <c r="AL218" s="19">
        <v>3431534.53</v>
      </c>
      <c r="AM218" s="19">
        <v>2575283.17</v>
      </c>
      <c r="AN218" s="19">
        <v>1030609.68</v>
      </c>
      <c r="AO218" s="19">
        <v>9330146.8399999999</v>
      </c>
      <c r="AP218" s="19">
        <v>1787887.45</v>
      </c>
      <c r="AQ218" s="19">
        <v>1144362.3999999999</v>
      </c>
      <c r="AR218" s="19">
        <v>7569764.6900000004</v>
      </c>
      <c r="AS218" s="19">
        <v>361872.32</v>
      </c>
      <c r="AT218" s="19">
        <v>383366.05</v>
      </c>
      <c r="AU218" s="19">
        <v>2663558.04</v>
      </c>
      <c r="AV218" s="19">
        <v>5033846.8499999996</v>
      </c>
      <c r="AW218" s="19">
        <v>627153.66</v>
      </c>
      <c r="AX218" s="19">
        <v>1143301.0900000001</v>
      </c>
      <c r="AY218" s="19">
        <v>153088.26999999999</v>
      </c>
      <c r="AZ218" s="19">
        <v>1977618.32</v>
      </c>
      <c r="BA218" s="19">
        <v>1474630.5</v>
      </c>
      <c r="BB218" s="19">
        <v>2883274.71</v>
      </c>
      <c r="BC218" s="19">
        <v>756742.26</v>
      </c>
      <c r="BD218" s="19">
        <v>739270.56</v>
      </c>
      <c r="BE218" s="125">
        <f>SUM(F218:BD218)</f>
        <v>104918568.35999998</v>
      </c>
      <c r="BF218" s="125">
        <f>SUM(F218:X218)</f>
        <v>20366679.279999997</v>
      </c>
      <c r="BG218" s="125">
        <f>SUM(Y218:AJ218)</f>
        <v>38289372.229999997</v>
      </c>
      <c r="BH218" s="125">
        <f>SUM(AK218:BD218)</f>
        <v>46262516.850000001</v>
      </c>
      <c r="BI218" s="19"/>
    </row>
    <row r="219" spans="3:61"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13"/>
      <c r="AH219" s="13"/>
      <c r="AI219" s="13"/>
      <c r="AJ219" s="13"/>
      <c r="AK219" s="126"/>
      <c r="AL219" s="13"/>
      <c r="AM219" s="13"/>
      <c r="AN219" s="13"/>
      <c r="AO219" s="13"/>
      <c r="AP219" s="13"/>
      <c r="AQ219" s="13"/>
      <c r="AR219" s="13"/>
      <c r="AS219" s="13"/>
      <c r="AT219" s="13"/>
      <c r="AU219" s="13"/>
      <c r="AV219" s="13"/>
      <c r="AW219" s="13"/>
      <c r="AX219" s="13"/>
      <c r="AY219" s="13"/>
      <c r="AZ219" s="13"/>
      <c r="BA219" s="13"/>
      <c r="BB219" s="13"/>
      <c r="BC219" s="13"/>
      <c r="BD219" s="13"/>
      <c r="BE219" s="95"/>
      <c r="BF219" s="95"/>
      <c r="BG219" s="95"/>
      <c r="BH219" s="95"/>
    </row>
    <row r="220" spans="3:61" ht="15" x14ac:dyDescent="0.25">
      <c r="C220" s="127"/>
      <c r="D220" s="127"/>
      <c r="E220" s="127" t="s">
        <v>574</v>
      </c>
    </row>
    <row r="221" spans="3:61" x14ac:dyDescent="0.2">
      <c r="D221" s="8">
        <v>290</v>
      </c>
      <c r="E221" s="8" t="s">
        <v>573</v>
      </c>
      <c r="F221" s="13">
        <f>'4.1 Comptes 2023 natures'!E156</f>
        <v>274400.28000000003</v>
      </c>
      <c r="G221" s="13">
        <f>'4.1 Comptes 2023 natures'!F156</f>
        <v>51613.27</v>
      </c>
      <c r="H221" s="13">
        <f>'4.1 Comptes 2023 natures'!G156</f>
        <v>60359.21</v>
      </c>
      <c r="I221" s="13">
        <f>'4.1 Comptes 2023 natures'!H156</f>
        <v>185669.36</v>
      </c>
      <c r="J221" s="13">
        <f>'4.1 Comptes 2023 natures'!I156</f>
        <v>123719.15</v>
      </c>
      <c r="K221" s="13">
        <f>'4.1 Comptes 2023 natures'!J156</f>
        <v>-213981.23</v>
      </c>
      <c r="L221" s="13">
        <f>'4.1 Comptes 2023 natures'!K156</f>
        <v>28753.05</v>
      </c>
      <c r="M221" s="13">
        <f>'4.1 Comptes 2023 natures'!L156</f>
        <v>1256534.8899999999</v>
      </c>
      <c r="N221" s="13">
        <f>'4.1 Comptes 2023 natures'!M156</f>
        <v>205982.75</v>
      </c>
      <c r="O221" s="13">
        <f>'4.1 Comptes 2023 natures'!N156</f>
        <v>5534.34</v>
      </c>
      <c r="P221" s="13">
        <f>'4.1 Comptes 2023 natures'!O156</f>
        <v>223698.82</v>
      </c>
      <c r="Q221" s="13">
        <f>'4.1 Comptes 2023 natures'!P156</f>
        <v>64898.12</v>
      </c>
      <c r="R221" s="13">
        <f>'4.1 Comptes 2023 natures'!Q156</f>
        <v>24850.27</v>
      </c>
      <c r="S221" s="13">
        <f>'4.1 Comptes 2023 natures'!R156</f>
        <v>-48281.74</v>
      </c>
      <c r="T221" s="13">
        <f>'4.1 Comptes 2023 natures'!S156</f>
        <v>-26048.83</v>
      </c>
      <c r="U221" s="13">
        <f>'4.1 Comptes 2023 natures'!T156</f>
        <v>58988.42</v>
      </c>
      <c r="V221" s="13">
        <f>'4.1 Comptes 2023 natures'!U156</f>
        <v>19001.490000000002</v>
      </c>
      <c r="W221" s="13">
        <f>'4.1 Comptes 2023 natures'!V156</f>
        <v>27460.59</v>
      </c>
      <c r="X221" s="13">
        <f>'4.1 Comptes 2023 natures'!W156</f>
        <v>111868.45</v>
      </c>
      <c r="Y221" s="13">
        <f>'4.1 Comptes 2023 natures'!X156</f>
        <v>15751.6</v>
      </c>
      <c r="Z221" s="13">
        <f>'4.1 Comptes 2023 natures'!Y156</f>
        <v>151635.34</v>
      </c>
      <c r="AA221" s="13">
        <f>'4.1 Comptes 2023 natures'!Z156</f>
        <v>319856.37</v>
      </c>
      <c r="AB221" s="13">
        <f>'4.1 Comptes 2023 natures'!AA156</f>
        <v>24625.58</v>
      </c>
      <c r="AC221" s="13">
        <f>'4.1 Comptes 2023 natures'!AB156</f>
        <v>-260378.03</v>
      </c>
      <c r="AD221" s="13">
        <f>'4.1 Comptes 2023 natures'!AC156</f>
        <v>8093.97</v>
      </c>
      <c r="AE221" s="13">
        <f>'4.1 Comptes 2023 natures'!AD156</f>
        <v>-17572.05</v>
      </c>
      <c r="AF221" s="13">
        <f>'4.1 Comptes 2023 natures'!AE156</f>
        <v>29333.06</v>
      </c>
      <c r="AG221" s="13">
        <f>'4.1 Comptes 2023 natures'!AF156</f>
        <v>338918.52</v>
      </c>
      <c r="AH221" s="13">
        <f>'4.1 Comptes 2023 natures'!AG156</f>
        <v>359515.81</v>
      </c>
      <c r="AI221" s="13">
        <f>'4.1 Comptes 2023 natures'!AH156</f>
        <v>45034.14</v>
      </c>
      <c r="AJ221" s="13">
        <f>'4.1 Comptes 2023 natures'!AI156</f>
        <v>100589.89</v>
      </c>
      <c r="AK221" s="13">
        <f>'4.1 Comptes 2023 natures'!AJ156</f>
        <v>223981.27</v>
      </c>
      <c r="AL221" s="13">
        <f>'4.1 Comptes 2023 natures'!AK156</f>
        <v>-1368.96</v>
      </c>
      <c r="AM221" s="13">
        <f>'4.1 Comptes 2023 natures'!AL156</f>
        <v>26548.080000000002</v>
      </c>
      <c r="AN221" s="13">
        <f>'4.1 Comptes 2023 natures'!AM156</f>
        <v>-40289.94</v>
      </c>
      <c r="AO221" s="13">
        <f>'4.1 Comptes 2023 natures'!AN156</f>
        <v>-100135.89</v>
      </c>
      <c r="AP221" s="13">
        <f>'4.1 Comptes 2023 natures'!AO156</f>
        <v>3651.03</v>
      </c>
      <c r="AQ221" s="13">
        <f>'4.1 Comptes 2023 natures'!AP156</f>
        <v>-940.38</v>
      </c>
      <c r="AR221" s="13">
        <f>'4.1 Comptes 2023 natures'!AQ156</f>
        <v>109956.23</v>
      </c>
      <c r="AS221" s="13">
        <f>'4.1 Comptes 2023 natures'!AR156</f>
        <v>-102046.3</v>
      </c>
      <c r="AT221" s="13">
        <f>'4.1 Comptes 2023 natures'!AS156</f>
        <v>-17419.77</v>
      </c>
      <c r="AU221" s="13">
        <f>'4.1 Comptes 2023 natures'!AT156</f>
        <v>4792.58</v>
      </c>
      <c r="AV221" s="13">
        <f>'4.1 Comptes 2023 natures'!AU156</f>
        <v>-19084.29</v>
      </c>
      <c r="AW221" s="13">
        <f>'4.1 Comptes 2023 natures'!AV156</f>
        <v>41151.57</v>
      </c>
      <c r="AX221" s="13">
        <f>'4.1 Comptes 2023 natures'!AW156</f>
        <v>59977.13</v>
      </c>
      <c r="AY221" s="13">
        <f>'4.1 Comptes 2023 natures'!AX156</f>
        <v>26977.75</v>
      </c>
      <c r="AZ221" s="13">
        <f>'4.1 Comptes 2023 natures'!AY156</f>
        <v>41684.69</v>
      </c>
      <c r="BA221" s="13">
        <f>'4.1 Comptes 2023 natures'!AZ156</f>
        <v>4181.5</v>
      </c>
      <c r="BB221" s="13">
        <f>'4.1 Comptes 2023 natures'!BA156</f>
        <v>32296.799999999999</v>
      </c>
      <c r="BC221" s="13">
        <f>'4.1 Comptes 2023 natures'!BB156</f>
        <v>265727.89</v>
      </c>
      <c r="BD221" s="13">
        <f>'4.1 Comptes 2023 natures'!BC156</f>
        <v>933.9</v>
      </c>
      <c r="BE221" s="13">
        <f>'4.1 Comptes 2023 natures'!BD156</f>
        <v>4110999.7500000009</v>
      </c>
      <c r="BF221" s="13">
        <f>'4.1 Comptes 2023 natures'!BE156</f>
        <v>2435020.66</v>
      </c>
      <c r="BG221" s="13">
        <f>'4.1 Comptes 2023 natures'!BF156</f>
        <v>1115404.2000000002</v>
      </c>
      <c r="BH221" s="13">
        <f>'4.1 Comptes 2023 natures'!BG156</f>
        <v>560574.89</v>
      </c>
    </row>
    <row r="222" spans="3:61" x14ac:dyDescent="0.2">
      <c r="D222" s="8">
        <v>2990</v>
      </c>
      <c r="E222" s="8" t="s">
        <v>577</v>
      </c>
      <c r="F222" s="13">
        <f>F217</f>
        <v>23179.87</v>
      </c>
      <c r="G222" s="13">
        <f t="shared" ref="G222:BH222" si="96">G217</f>
        <v>114823.3</v>
      </c>
      <c r="H222" s="13">
        <f t="shared" si="96"/>
        <v>51061.06</v>
      </c>
      <c r="I222" s="13">
        <f t="shared" si="96"/>
        <v>-62293.63</v>
      </c>
      <c r="J222" s="13">
        <f t="shared" si="96"/>
        <v>33918.5</v>
      </c>
      <c r="K222" s="13">
        <f t="shared" si="96"/>
        <v>490967.6</v>
      </c>
      <c r="L222" s="13">
        <f t="shared" si="96"/>
        <v>15593.4</v>
      </c>
      <c r="M222" s="13">
        <f t="shared" si="96"/>
        <v>-2174361.6000000001</v>
      </c>
      <c r="N222" s="13">
        <f t="shared" si="96"/>
        <v>30502.48</v>
      </c>
      <c r="O222" s="13">
        <f t="shared" si="96"/>
        <v>-15903.22</v>
      </c>
      <c r="P222" s="13">
        <f t="shared" si="96"/>
        <v>-610295.42000000004</v>
      </c>
      <c r="Q222" s="13">
        <f t="shared" si="96"/>
        <v>129779.38</v>
      </c>
      <c r="R222" s="13">
        <f t="shared" si="96"/>
        <v>-40694.730000000003</v>
      </c>
      <c r="S222" s="13">
        <f t="shared" si="96"/>
        <v>50997.63</v>
      </c>
      <c r="T222" s="13">
        <f t="shared" si="96"/>
        <v>-37329.83</v>
      </c>
      <c r="U222" s="13">
        <f t="shared" si="96"/>
        <v>60782.33</v>
      </c>
      <c r="V222" s="13">
        <f t="shared" si="96"/>
        <v>9611.35</v>
      </c>
      <c r="W222" s="13">
        <f t="shared" si="96"/>
        <v>25754.84</v>
      </c>
      <c r="X222" s="13">
        <f t="shared" si="96"/>
        <v>57003.82</v>
      </c>
      <c r="Y222" s="13">
        <f t="shared" si="96"/>
        <v>43384.87</v>
      </c>
      <c r="Z222" s="13">
        <f t="shared" si="96"/>
        <v>935477.29</v>
      </c>
      <c r="AA222" s="13">
        <f t="shared" si="96"/>
        <v>2357312.52</v>
      </c>
      <c r="AB222" s="13">
        <f t="shared" si="96"/>
        <v>-8997.33</v>
      </c>
      <c r="AC222" s="13">
        <f t="shared" si="96"/>
        <v>-260378.03</v>
      </c>
      <c r="AD222" s="13">
        <f t="shared" si="96"/>
        <v>3071.68</v>
      </c>
      <c r="AE222" s="13">
        <f t="shared" si="96"/>
        <v>1023.72</v>
      </c>
      <c r="AF222" s="13">
        <f t="shared" si="96"/>
        <v>49294.34</v>
      </c>
      <c r="AG222" s="13">
        <f t="shared" si="96"/>
        <v>1399806.94</v>
      </c>
      <c r="AH222" s="13">
        <f t="shared" si="96"/>
        <v>217683.4</v>
      </c>
      <c r="AI222" s="13">
        <f t="shared" si="96"/>
        <v>1520.35</v>
      </c>
      <c r="AJ222" s="13">
        <f t="shared" si="96"/>
        <v>4424.6499999999996</v>
      </c>
      <c r="AK222" s="13">
        <f t="shared" si="96"/>
        <v>53241</v>
      </c>
      <c r="AL222" s="13">
        <f t="shared" si="96"/>
        <v>20312.21</v>
      </c>
      <c r="AM222" s="13">
        <f t="shared" si="96"/>
        <v>46649.919999999998</v>
      </c>
      <c r="AN222" s="13">
        <f t="shared" si="96"/>
        <v>13050.46</v>
      </c>
      <c r="AO222" s="13">
        <f t="shared" si="96"/>
        <v>116926.76</v>
      </c>
      <c r="AP222" s="13">
        <f t="shared" si="96"/>
        <v>-470965.71</v>
      </c>
      <c r="AQ222" s="13">
        <f t="shared" si="96"/>
        <v>57276.38</v>
      </c>
      <c r="AR222" s="13">
        <f t="shared" si="96"/>
        <v>3214.63</v>
      </c>
      <c r="AS222" s="13">
        <f t="shared" si="96"/>
        <v>-103783.8</v>
      </c>
      <c r="AT222" s="13">
        <f t="shared" si="96"/>
        <v>69833.289999999994</v>
      </c>
      <c r="AU222" s="13">
        <f t="shared" si="96"/>
        <v>272506.28000000003</v>
      </c>
      <c r="AV222" s="13">
        <f t="shared" si="96"/>
        <v>-141893.21</v>
      </c>
      <c r="AW222" s="13">
        <f t="shared" si="96"/>
        <v>3493.65</v>
      </c>
      <c r="AX222" s="13">
        <f t="shared" si="96"/>
        <v>375240.59</v>
      </c>
      <c r="AY222" s="13">
        <f t="shared" si="96"/>
        <v>-55185.51</v>
      </c>
      <c r="AZ222" s="13">
        <f t="shared" si="96"/>
        <v>35960.61</v>
      </c>
      <c r="BA222" s="13">
        <f t="shared" si="96"/>
        <v>2149.66</v>
      </c>
      <c r="BB222" s="13">
        <f t="shared" si="96"/>
        <v>23950.09</v>
      </c>
      <c r="BC222" s="13">
        <f t="shared" si="96"/>
        <v>-428001.87</v>
      </c>
      <c r="BD222" s="13">
        <f t="shared" si="96"/>
        <v>107918.37</v>
      </c>
      <c r="BE222" s="13">
        <f t="shared" si="96"/>
        <v>2898615.3299999991</v>
      </c>
      <c r="BF222" s="13">
        <f t="shared" si="96"/>
        <v>-1846902.87</v>
      </c>
      <c r="BG222" s="13">
        <f t="shared" si="96"/>
        <v>4743624.4000000004</v>
      </c>
      <c r="BH222" s="13">
        <f t="shared" si="96"/>
        <v>1893.7999999999884</v>
      </c>
    </row>
    <row r="224" spans="3:61" ht="15" x14ac:dyDescent="0.25">
      <c r="E224" s="7" t="s">
        <v>576</v>
      </c>
      <c r="F224" s="82">
        <f>F221+F222</f>
        <v>297580.15000000002</v>
      </c>
      <c r="G224" s="82">
        <f t="shared" ref="G224:BH224" si="97">G221+G222</f>
        <v>166436.57</v>
      </c>
      <c r="H224" s="82">
        <f t="shared" si="97"/>
        <v>111420.26999999999</v>
      </c>
      <c r="I224" s="82">
        <f t="shared" si="97"/>
        <v>123375.72999999998</v>
      </c>
      <c r="J224" s="82">
        <f t="shared" si="97"/>
        <v>157637.65</v>
      </c>
      <c r="K224" s="82">
        <f t="shared" si="97"/>
        <v>276986.37</v>
      </c>
      <c r="L224" s="82">
        <f t="shared" si="97"/>
        <v>44346.45</v>
      </c>
      <c r="M224" s="82">
        <f t="shared" si="97"/>
        <v>-917826.7100000002</v>
      </c>
      <c r="N224" s="82">
        <f t="shared" si="97"/>
        <v>236485.23</v>
      </c>
      <c r="O224" s="82">
        <f t="shared" si="97"/>
        <v>-10368.879999999999</v>
      </c>
      <c r="P224" s="82">
        <f t="shared" si="97"/>
        <v>-386596.60000000003</v>
      </c>
      <c r="Q224" s="82">
        <f t="shared" si="97"/>
        <v>194677.5</v>
      </c>
      <c r="R224" s="82">
        <f t="shared" si="97"/>
        <v>-15844.460000000003</v>
      </c>
      <c r="S224" s="82">
        <f t="shared" si="97"/>
        <v>2715.8899999999994</v>
      </c>
      <c r="T224" s="82">
        <f t="shared" si="97"/>
        <v>-63378.66</v>
      </c>
      <c r="U224" s="82">
        <f t="shared" si="97"/>
        <v>119770.75</v>
      </c>
      <c r="V224" s="82">
        <f t="shared" si="97"/>
        <v>28612.840000000004</v>
      </c>
      <c r="W224" s="82">
        <f t="shared" si="97"/>
        <v>53215.43</v>
      </c>
      <c r="X224" s="82">
        <f t="shared" si="97"/>
        <v>168872.27</v>
      </c>
      <c r="Y224" s="82">
        <f t="shared" si="97"/>
        <v>59136.47</v>
      </c>
      <c r="Z224" s="82">
        <f t="shared" si="97"/>
        <v>1087112.6300000001</v>
      </c>
      <c r="AA224" s="82">
        <f t="shared" si="97"/>
        <v>2677168.89</v>
      </c>
      <c r="AB224" s="82">
        <f t="shared" si="97"/>
        <v>15628.250000000002</v>
      </c>
      <c r="AC224" s="82">
        <f t="shared" si="97"/>
        <v>-520756.06</v>
      </c>
      <c r="AD224" s="82">
        <f t="shared" si="97"/>
        <v>11165.65</v>
      </c>
      <c r="AE224" s="82">
        <f t="shared" si="97"/>
        <v>-16548.329999999998</v>
      </c>
      <c r="AF224" s="82">
        <f t="shared" si="97"/>
        <v>78627.399999999994</v>
      </c>
      <c r="AG224" s="82">
        <f t="shared" si="97"/>
        <v>1738725.46</v>
      </c>
      <c r="AH224" s="82">
        <f t="shared" si="97"/>
        <v>577199.21</v>
      </c>
      <c r="AI224" s="82">
        <f t="shared" si="97"/>
        <v>46554.49</v>
      </c>
      <c r="AJ224" s="82">
        <f t="shared" si="97"/>
        <v>105014.54</v>
      </c>
      <c r="AK224" s="82">
        <f t="shared" si="97"/>
        <v>277222.27</v>
      </c>
      <c r="AL224" s="82">
        <f t="shared" si="97"/>
        <v>18943.25</v>
      </c>
      <c r="AM224" s="82">
        <f t="shared" si="97"/>
        <v>73198</v>
      </c>
      <c r="AN224" s="82">
        <f t="shared" si="97"/>
        <v>-27239.480000000003</v>
      </c>
      <c r="AO224" s="82">
        <f t="shared" si="97"/>
        <v>16790.869999999995</v>
      </c>
      <c r="AP224" s="82">
        <f t="shared" si="97"/>
        <v>-467314.68</v>
      </c>
      <c r="AQ224" s="82">
        <f t="shared" si="97"/>
        <v>56336</v>
      </c>
      <c r="AR224" s="82">
        <f t="shared" si="97"/>
        <v>113170.86</v>
      </c>
      <c r="AS224" s="82">
        <f t="shared" si="97"/>
        <v>-205830.1</v>
      </c>
      <c r="AT224" s="82">
        <f t="shared" si="97"/>
        <v>52413.51999999999</v>
      </c>
      <c r="AU224" s="82">
        <f t="shared" si="97"/>
        <v>277298.86000000004</v>
      </c>
      <c r="AV224" s="82">
        <f t="shared" si="97"/>
        <v>-160977.5</v>
      </c>
      <c r="AW224" s="82">
        <f t="shared" si="97"/>
        <v>44645.22</v>
      </c>
      <c r="AX224" s="82">
        <f t="shared" si="97"/>
        <v>435217.72000000003</v>
      </c>
      <c r="AY224" s="82">
        <f t="shared" si="97"/>
        <v>-28207.760000000002</v>
      </c>
      <c r="AZ224" s="82">
        <f t="shared" si="97"/>
        <v>77645.3</v>
      </c>
      <c r="BA224" s="82">
        <f t="shared" si="97"/>
        <v>6331.16</v>
      </c>
      <c r="BB224" s="82">
        <f t="shared" si="97"/>
        <v>56246.89</v>
      </c>
      <c r="BC224" s="82">
        <f t="shared" si="97"/>
        <v>-162273.97999999998</v>
      </c>
      <c r="BD224" s="82">
        <f t="shared" si="97"/>
        <v>108852.26999999999</v>
      </c>
      <c r="BE224" s="82">
        <f t="shared" si="97"/>
        <v>7009615.0800000001</v>
      </c>
      <c r="BF224" s="82">
        <f t="shared" si="97"/>
        <v>588117.79</v>
      </c>
      <c r="BG224" s="82">
        <f t="shared" si="97"/>
        <v>5859028.6000000006</v>
      </c>
      <c r="BH224" s="82">
        <f t="shared" si="97"/>
        <v>562468.68999999994</v>
      </c>
    </row>
    <row r="225" spans="5:60" x14ac:dyDescent="0.2">
      <c r="N225" s="13"/>
      <c r="BE225" s="13"/>
      <c r="BF225" s="13"/>
      <c r="BG225" s="13"/>
      <c r="BH225" s="13"/>
    </row>
    <row r="226" spans="5:60" x14ac:dyDescent="0.2">
      <c r="E226" s="86" t="s">
        <v>575</v>
      </c>
      <c r="F226" s="24">
        <f>F5-F121</f>
        <v>0</v>
      </c>
      <c r="G226" s="24">
        <f t="shared" ref="G226:BH226" si="98">G5-G121</f>
        <v>0</v>
      </c>
      <c r="H226" s="24">
        <f t="shared" si="98"/>
        <v>0</v>
      </c>
      <c r="I226" s="24">
        <f t="shared" si="98"/>
        <v>0</v>
      </c>
      <c r="J226" s="24">
        <f t="shared" si="98"/>
        <v>0</v>
      </c>
      <c r="K226" s="24">
        <f t="shared" si="98"/>
        <v>0</v>
      </c>
      <c r="L226" s="24">
        <f t="shared" si="98"/>
        <v>0</v>
      </c>
      <c r="M226" s="24">
        <f t="shared" si="98"/>
        <v>0</v>
      </c>
      <c r="N226" s="24">
        <f t="shared" si="98"/>
        <v>0</v>
      </c>
      <c r="O226" s="24">
        <f t="shared" si="98"/>
        <v>0</v>
      </c>
      <c r="P226" s="24">
        <f t="shared" si="98"/>
        <v>0</v>
      </c>
      <c r="Q226" s="24">
        <f t="shared" si="98"/>
        <v>0</v>
      </c>
      <c r="R226" s="24">
        <f t="shared" si="98"/>
        <v>0</v>
      </c>
      <c r="S226" s="24">
        <f t="shared" si="98"/>
        <v>0</v>
      </c>
      <c r="T226" s="24">
        <f t="shared" si="98"/>
        <v>0</v>
      </c>
      <c r="U226" s="24">
        <f t="shared" si="98"/>
        <v>0</v>
      </c>
      <c r="V226" s="24">
        <f t="shared" si="98"/>
        <v>0</v>
      </c>
      <c r="W226" s="24">
        <f t="shared" si="98"/>
        <v>0</v>
      </c>
      <c r="X226" s="24">
        <f t="shared" si="98"/>
        <v>0</v>
      </c>
      <c r="Y226" s="24">
        <f t="shared" si="98"/>
        <v>0</v>
      </c>
      <c r="Z226" s="24">
        <f t="shared" si="98"/>
        <v>0</v>
      </c>
      <c r="AA226" s="24">
        <f t="shared" si="98"/>
        <v>0</v>
      </c>
      <c r="AB226" s="24">
        <f t="shared" si="98"/>
        <v>0</v>
      </c>
      <c r="AC226" s="24">
        <f t="shared" si="98"/>
        <v>0</v>
      </c>
      <c r="AD226" s="24">
        <f t="shared" si="98"/>
        <v>0</v>
      </c>
      <c r="AE226" s="24">
        <f t="shared" si="98"/>
        <v>0</v>
      </c>
      <c r="AF226" s="24">
        <f t="shared" si="98"/>
        <v>0</v>
      </c>
      <c r="AG226" s="24">
        <f t="shared" si="98"/>
        <v>0</v>
      </c>
      <c r="AH226" s="24">
        <f t="shared" si="98"/>
        <v>0</v>
      </c>
      <c r="AI226" s="24">
        <f t="shared" si="98"/>
        <v>0</v>
      </c>
      <c r="AJ226" s="24">
        <f t="shared" si="98"/>
        <v>0</v>
      </c>
      <c r="AK226" s="24">
        <f t="shared" si="98"/>
        <v>0</v>
      </c>
      <c r="AL226" s="24">
        <f t="shared" si="98"/>
        <v>0</v>
      </c>
      <c r="AM226" s="24">
        <f t="shared" si="98"/>
        <v>0</v>
      </c>
      <c r="AN226" s="24">
        <f t="shared" si="98"/>
        <v>0</v>
      </c>
      <c r="AO226" s="24">
        <f t="shared" si="98"/>
        <v>0</v>
      </c>
      <c r="AP226" s="24">
        <f t="shared" si="98"/>
        <v>0</v>
      </c>
      <c r="AQ226" s="24">
        <f t="shared" si="98"/>
        <v>0</v>
      </c>
      <c r="AR226" s="24">
        <f t="shared" si="98"/>
        <v>0</v>
      </c>
      <c r="AS226" s="24">
        <f t="shared" si="98"/>
        <v>0</v>
      </c>
      <c r="AT226" s="24">
        <f t="shared" si="98"/>
        <v>0</v>
      </c>
      <c r="AU226" s="24">
        <f t="shared" si="98"/>
        <v>0</v>
      </c>
      <c r="AV226" s="24">
        <f t="shared" si="98"/>
        <v>0</v>
      </c>
      <c r="AW226" s="24">
        <f t="shared" si="98"/>
        <v>0</v>
      </c>
      <c r="AX226" s="24">
        <f t="shared" si="98"/>
        <v>0</v>
      </c>
      <c r="AY226" s="24">
        <f t="shared" si="98"/>
        <v>0</v>
      </c>
      <c r="AZ226" s="24">
        <f t="shared" si="98"/>
        <v>0</v>
      </c>
      <c r="BA226" s="24">
        <f t="shared" si="98"/>
        <v>0</v>
      </c>
      <c r="BB226" s="24">
        <f t="shared" si="98"/>
        <v>0</v>
      </c>
      <c r="BC226" s="24">
        <f t="shared" si="98"/>
        <v>0</v>
      </c>
      <c r="BD226" s="24">
        <f t="shared" si="98"/>
        <v>0</v>
      </c>
      <c r="BE226" s="24">
        <f t="shared" si="98"/>
        <v>0</v>
      </c>
      <c r="BF226" s="24">
        <f t="shared" si="98"/>
        <v>0</v>
      </c>
      <c r="BG226" s="24">
        <f t="shared" si="98"/>
        <v>0</v>
      </c>
      <c r="BH226" s="24">
        <f t="shared" si="98"/>
        <v>0</v>
      </c>
    </row>
    <row r="227" spans="5:60" x14ac:dyDescent="0.2">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c r="BG227" s="19"/>
      <c r="BH227" s="19"/>
    </row>
    <row r="228" spans="5:60" x14ac:dyDescent="0.2">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c r="BG228" s="19"/>
      <c r="BH228" s="19"/>
    </row>
    <row r="229" spans="5:60" x14ac:dyDescent="0.2">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c r="BG229" s="19"/>
      <c r="BH229" s="19"/>
    </row>
    <row r="230" spans="5:60" x14ac:dyDescent="0.2">
      <c r="E230" s="8" t="s">
        <v>880</v>
      </c>
      <c r="F230" s="19">
        <f>F216</f>
        <v>1886110.4900000002</v>
      </c>
      <c r="G230" s="19">
        <f t="shared" ref="G230:BH230" si="99">G216</f>
        <v>11382.479999999996</v>
      </c>
      <c r="H230" s="19">
        <f t="shared" si="99"/>
        <v>147527.20000000001</v>
      </c>
      <c r="I230" s="19">
        <f t="shared" si="99"/>
        <v>942114.51</v>
      </c>
      <c r="J230" s="19">
        <f t="shared" si="99"/>
        <v>5329910.5599999996</v>
      </c>
      <c r="K230" s="19">
        <f t="shared" si="99"/>
        <v>2666018.04</v>
      </c>
      <c r="L230" s="19">
        <f t="shared" si="99"/>
        <v>6542969.2000000002</v>
      </c>
      <c r="M230" s="19">
        <f t="shared" si="99"/>
        <v>-4795601.3900000006</v>
      </c>
      <c r="N230" s="19">
        <f t="shared" si="99"/>
        <v>819878.64</v>
      </c>
      <c r="O230" s="19">
        <f t="shared" si="99"/>
        <v>532616.70000000007</v>
      </c>
      <c r="P230" s="19">
        <f t="shared" si="99"/>
        <v>101716.69999999995</v>
      </c>
      <c r="Q230" s="19">
        <f t="shared" si="99"/>
        <v>397718.22000000003</v>
      </c>
      <c r="R230" s="19">
        <f t="shared" si="99"/>
        <v>16756.349999999999</v>
      </c>
      <c r="S230" s="19">
        <f t="shared" si="99"/>
        <v>319970.86</v>
      </c>
      <c r="T230" s="19">
        <f t="shared" si="99"/>
        <v>-28859.170000000002</v>
      </c>
      <c r="U230" s="19">
        <f t="shared" si="99"/>
        <v>1131111.26</v>
      </c>
      <c r="V230" s="19">
        <f t="shared" si="99"/>
        <v>288162.19</v>
      </c>
      <c r="W230" s="19">
        <f t="shared" si="99"/>
        <v>172301.24</v>
      </c>
      <c r="X230" s="19">
        <f t="shared" si="99"/>
        <v>2037972.33</v>
      </c>
      <c r="Y230" s="19">
        <f t="shared" si="99"/>
        <v>2497296.14</v>
      </c>
      <c r="Z230" s="19">
        <f t="shared" si="99"/>
        <v>4711256.0600000005</v>
      </c>
      <c r="AA230" s="19">
        <f t="shared" si="99"/>
        <v>15665171.51</v>
      </c>
      <c r="AB230" s="19">
        <f t="shared" si="99"/>
        <v>1090634.4099999999</v>
      </c>
      <c r="AC230" s="19">
        <f t="shared" si="99"/>
        <v>551237.42999999993</v>
      </c>
      <c r="AD230" s="19">
        <f t="shared" si="99"/>
        <v>581647.9800000001</v>
      </c>
      <c r="AE230" s="19">
        <f t="shared" si="99"/>
        <v>1032492.21</v>
      </c>
      <c r="AF230" s="19">
        <f t="shared" si="99"/>
        <v>4519001.37</v>
      </c>
      <c r="AG230" s="19">
        <f t="shared" si="99"/>
        <v>7685794.7699999996</v>
      </c>
      <c r="AH230" s="19">
        <f t="shared" si="99"/>
        <v>2209258.59</v>
      </c>
      <c r="AI230" s="19">
        <f t="shared" si="99"/>
        <v>1121985.9300000002</v>
      </c>
      <c r="AJ230" s="19">
        <f t="shared" si="99"/>
        <v>1367220.23</v>
      </c>
      <c r="AK230" s="19">
        <f t="shared" si="99"/>
        <v>1248446.46</v>
      </c>
      <c r="AL230" s="19">
        <f t="shared" si="99"/>
        <v>3451846.7399999998</v>
      </c>
      <c r="AM230" s="19">
        <f t="shared" si="99"/>
        <v>2621933.09</v>
      </c>
      <c r="AN230" s="19">
        <f t="shared" si="99"/>
        <v>1043660.14</v>
      </c>
      <c r="AO230" s="19">
        <f t="shared" si="99"/>
        <v>9447073.5999999996</v>
      </c>
      <c r="AP230" s="19">
        <f t="shared" si="99"/>
        <v>1316921.74</v>
      </c>
      <c r="AQ230" s="19">
        <f t="shared" si="99"/>
        <v>1201638.7799999998</v>
      </c>
      <c r="AR230" s="19">
        <f t="shared" si="99"/>
        <v>7572979.3200000003</v>
      </c>
      <c r="AS230" s="19">
        <f t="shared" si="99"/>
        <v>258088.52000000002</v>
      </c>
      <c r="AT230" s="19">
        <f t="shared" si="99"/>
        <v>453199.33999999997</v>
      </c>
      <c r="AU230" s="19">
        <f t="shared" si="99"/>
        <v>2936064.3200000003</v>
      </c>
      <c r="AV230" s="19">
        <f t="shared" si="99"/>
        <v>4891953.6399999997</v>
      </c>
      <c r="AW230" s="19">
        <f t="shared" si="99"/>
        <v>630647.31000000006</v>
      </c>
      <c r="AX230" s="19">
        <f t="shared" si="99"/>
        <v>1518541.6800000002</v>
      </c>
      <c r="AY230" s="19">
        <f t="shared" si="99"/>
        <v>97902.75999999998</v>
      </c>
      <c r="AZ230" s="19">
        <f t="shared" si="99"/>
        <v>2013578.9300000002</v>
      </c>
      <c r="BA230" s="19">
        <f t="shared" si="99"/>
        <v>1476780.16</v>
      </c>
      <c r="BB230" s="19">
        <f t="shared" si="99"/>
        <v>2907224.8</v>
      </c>
      <c r="BC230" s="19">
        <f t="shared" si="99"/>
        <v>328740.39</v>
      </c>
      <c r="BD230" s="19">
        <f t="shared" si="99"/>
        <v>847188.93</v>
      </c>
      <c r="BE230" s="19">
        <f t="shared" si="99"/>
        <v>107817183.69000003</v>
      </c>
      <c r="BF230" s="19">
        <f t="shared" si="99"/>
        <v>18519776.409999996</v>
      </c>
      <c r="BG230" s="19">
        <f t="shared" si="99"/>
        <v>43032996.629999995</v>
      </c>
      <c r="BH230" s="19">
        <f t="shared" si="99"/>
        <v>46264410.649999991</v>
      </c>
    </row>
    <row r="231" spans="5:60" x14ac:dyDescent="0.2">
      <c r="E231" s="8" t="s">
        <v>881</v>
      </c>
      <c r="F231" s="19">
        <f>F192</f>
        <v>2762936.56</v>
      </c>
      <c r="G231" s="19">
        <f t="shared" ref="G231:BH231" si="100">G192</f>
        <v>572736.05000000005</v>
      </c>
      <c r="H231" s="19">
        <f t="shared" si="100"/>
        <v>482521.7</v>
      </c>
      <c r="I231" s="19">
        <f t="shared" si="100"/>
        <v>1379682.07</v>
      </c>
      <c r="J231" s="19">
        <f t="shared" si="100"/>
        <v>5408372.6799999997</v>
      </c>
      <c r="K231" s="19">
        <f t="shared" si="100"/>
        <v>4682402.28</v>
      </c>
      <c r="L231" s="19">
        <f t="shared" si="100"/>
        <v>3289822.45</v>
      </c>
      <c r="M231" s="19">
        <f t="shared" si="100"/>
        <v>26824288.859999999</v>
      </c>
      <c r="N231" s="19">
        <f t="shared" si="100"/>
        <v>1513478.42</v>
      </c>
      <c r="O231" s="19">
        <f t="shared" si="100"/>
        <v>210167.43</v>
      </c>
      <c r="P231" s="19">
        <f t="shared" si="100"/>
        <v>4830825.8899999997</v>
      </c>
      <c r="Q231" s="19">
        <f t="shared" si="100"/>
        <v>727639.54</v>
      </c>
      <c r="R231" s="19">
        <f t="shared" si="100"/>
        <v>209868.44</v>
      </c>
      <c r="S231" s="19">
        <f t="shared" si="100"/>
        <v>362426.32</v>
      </c>
      <c r="T231" s="19">
        <f t="shared" si="100"/>
        <v>1132242.3999999999</v>
      </c>
      <c r="U231" s="19">
        <f t="shared" si="100"/>
        <v>1817789.83</v>
      </c>
      <c r="V231" s="19">
        <f t="shared" si="100"/>
        <v>431382.34</v>
      </c>
      <c r="W231" s="19">
        <f t="shared" si="100"/>
        <v>579395.4</v>
      </c>
      <c r="X231" s="19">
        <f t="shared" si="100"/>
        <v>2863065.21</v>
      </c>
      <c r="Y231" s="19">
        <f t="shared" si="100"/>
        <v>784819.1</v>
      </c>
      <c r="Z231" s="19">
        <f t="shared" si="100"/>
        <v>1257923.8799999999</v>
      </c>
      <c r="AA231" s="19">
        <f t="shared" si="100"/>
        <v>2907756.15</v>
      </c>
      <c r="AB231" s="19">
        <f t="shared" si="100"/>
        <v>514196.5</v>
      </c>
      <c r="AC231" s="19">
        <f t="shared" si="100"/>
        <v>671909.76</v>
      </c>
      <c r="AD231" s="19">
        <f t="shared" si="100"/>
        <v>488570.01</v>
      </c>
      <c r="AE231" s="19">
        <f t="shared" si="100"/>
        <v>1197071.19</v>
      </c>
      <c r="AF231" s="19">
        <f t="shared" si="100"/>
        <v>2164337.91</v>
      </c>
      <c r="AG231" s="19">
        <f t="shared" si="100"/>
        <v>3174448.4</v>
      </c>
      <c r="AH231" s="19">
        <f t="shared" si="100"/>
        <v>7255636.3399999999</v>
      </c>
      <c r="AI231" s="19">
        <f t="shared" si="100"/>
        <v>899250.36</v>
      </c>
      <c r="AJ231" s="19">
        <f t="shared" si="100"/>
        <v>608808.11</v>
      </c>
      <c r="AK231" s="19">
        <f t="shared" si="100"/>
        <v>2126566.79</v>
      </c>
      <c r="AL231" s="19">
        <f t="shared" si="100"/>
        <v>1298074.2</v>
      </c>
      <c r="AM231" s="19">
        <f t="shared" si="100"/>
        <v>810040.9</v>
      </c>
      <c r="AN231" s="19">
        <f t="shared" si="100"/>
        <v>279848.65999999997</v>
      </c>
      <c r="AO231" s="19">
        <f t="shared" si="100"/>
        <v>3080031.79</v>
      </c>
      <c r="AP231" s="19">
        <f t="shared" si="100"/>
        <v>693700.11</v>
      </c>
      <c r="AQ231" s="19">
        <f t="shared" si="100"/>
        <v>599509.43999999994</v>
      </c>
      <c r="AR231" s="19">
        <f t="shared" si="100"/>
        <v>1370482.83</v>
      </c>
      <c r="AS231" s="19">
        <f t="shared" si="100"/>
        <v>1524803.51</v>
      </c>
      <c r="AT231" s="19">
        <f t="shared" si="100"/>
        <v>709293.15</v>
      </c>
      <c r="AU231" s="19">
        <f t="shared" si="100"/>
        <v>740302.06</v>
      </c>
      <c r="AV231" s="19">
        <f t="shared" si="100"/>
        <v>1197164.71</v>
      </c>
      <c r="AW231" s="19">
        <f t="shared" si="100"/>
        <v>1334758.18</v>
      </c>
      <c r="AX231" s="19">
        <f t="shared" si="100"/>
        <v>857101.81</v>
      </c>
      <c r="AY231" s="19">
        <f t="shared" si="100"/>
        <v>1045258.37</v>
      </c>
      <c r="AZ231" s="19">
        <f t="shared" si="100"/>
        <v>968165.04</v>
      </c>
      <c r="BA231" s="19">
        <f t="shared" si="100"/>
        <v>1674314.09</v>
      </c>
      <c r="BB231" s="19">
        <f t="shared" si="100"/>
        <v>1782176.81</v>
      </c>
      <c r="BC231" s="19">
        <f t="shared" si="100"/>
        <v>9277701.1999999993</v>
      </c>
      <c r="BD231" s="19">
        <f t="shared" si="100"/>
        <v>793732.97</v>
      </c>
      <c r="BE231" s="19">
        <f t="shared" si="100"/>
        <v>114168798.20000005</v>
      </c>
      <c r="BF231" s="19">
        <f t="shared" si="100"/>
        <v>60081043.869999997</v>
      </c>
      <c r="BG231" s="19">
        <f t="shared" si="100"/>
        <v>21924727.710000001</v>
      </c>
      <c r="BH231" s="19">
        <f t="shared" si="100"/>
        <v>32163026.619999997</v>
      </c>
    </row>
    <row r="232" spans="5:60" x14ac:dyDescent="0.2">
      <c r="E232" s="8" t="s">
        <v>64</v>
      </c>
      <c r="F232" s="19">
        <f>F230+F231</f>
        <v>4649047.0500000007</v>
      </c>
      <c r="G232" s="19">
        <f t="shared" ref="G232:BH232" si="101">G230+G231</f>
        <v>584118.53</v>
      </c>
      <c r="H232" s="19">
        <f t="shared" si="101"/>
        <v>630048.9</v>
      </c>
      <c r="I232" s="19">
        <f t="shared" si="101"/>
        <v>2321796.58</v>
      </c>
      <c r="J232" s="19">
        <f t="shared" si="101"/>
        <v>10738283.239999998</v>
      </c>
      <c r="K232" s="19">
        <f t="shared" si="101"/>
        <v>7348420.3200000003</v>
      </c>
      <c r="L232" s="19">
        <f t="shared" si="101"/>
        <v>9832791.6500000004</v>
      </c>
      <c r="M232" s="19">
        <f t="shared" si="101"/>
        <v>22028687.469999999</v>
      </c>
      <c r="N232" s="19">
        <f t="shared" si="101"/>
        <v>2333357.06</v>
      </c>
      <c r="O232" s="19">
        <f t="shared" si="101"/>
        <v>742784.13000000012</v>
      </c>
      <c r="P232" s="19">
        <f t="shared" si="101"/>
        <v>4932542.59</v>
      </c>
      <c r="Q232" s="19">
        <f t="shared" si="101"/>
        <v>1125357.76</v>
      </c>
      <c r="R232" s="19">
        <f t="shared" si="101"/>
        <v>226624.79</v>
      </c>
      <c r="S232" s="19">
        <f t="shared" si="101"/>
        <v>682397.17999999993</v>
      </c>
      <c r="T232" s="19">
        <f t="shared" si="101"/>
        <v>1103383.23</v>
      </c>
      <c r="U232" s="19">
        <f t="shared" si="101"/>
        <v>2948901.09</v>
      </c>
      <c r="V232" s="19">
        <f t="shared" si="101"/>
        <v>719544.53</v>
      </c>
      <c r="W232" s="19">
        <f t="shared" si="101"/>
        <v>751696.64</v>
      </c>
      <c r="X232" s="19">
        <f t="shared" si="101"/>
        <v>4901037.54</v>
      </c>
      <c r="Y232" s="19">
        <f t="shared" si="101"/>
        <v>3282115.24</v>
      </c>
      <c r="Z232" s="19">
        <f t="shared" si="101"/>
        <v>5969179.9400000004</v>
      </c>
      <c r="AA232" s="19">
        <f t="shared" si="101"/>
        <v>18572927.66</v>
      </c>
      <c r="AB232" s="19">
        <f t="shared" si="101"/>
        <v>1604830.91</v>
      </c>
      <c r="AC232" s="19">
        <f t="shared" si="101"/>
        <v>1223147.19</v>
      </c>
      <c r="AD232" s="19">
        <f t="shared" si="101"/>
        <v>1070217.9900000002</v>
      </c>
      <c r="AE232" s="19">
        <f t="shared" si="101"/>
        <v>2229563.4</v>
      </c>
      <c r="AF232" s="19">
        <f t="shared" si="101"/>
        <v>6683339.2800000003</v>
      </c>
      <c r="AG232" s="19">
        <f t="shared" si="101"/>
        <v>10860243.17</v>
      </c>
      <c r="AH232" s="19">
        <f t="shared" si="101"/>
        <v>9464894.9299999997</v>
      </c>
      <c r="AI232" s="19">
        <f t="shared" si="101"/>
        <v>2021236.29</v>
      </c>
      <c r="AJ232" s="19">
        <f t="shared" si="101"/>
        <v>1976028.3399999999</v>
      </c>
      <c r="AK232" s="19">
        <f t="shared" si="101"/>
        <v>3375013.25</v>
      </c>
      <c r="AL232" s="19">
        <f t="shared" si="101"/>
        <v>4749920.9399999995</v>
      </c>
      <c r="AM232" s="19">
        <f t="shared" si="101"/>
        <v>3431973.9899999998</v>
      </c>
      <c r="AN232" s="19">
        <f t="shared" si="101"/>
        <v>1323508.8</v>
      </c>
      <c r="AO232" s="19">
        <f t="shared" si="101"/>
        <v>12527105.390000001</v>
      </c>
      <c r="AP232" s="19">
        <f t="shared" si="101"/>
        <v>2010621.85</v>
      </c>
      <c r="AQ232" s="19">
        <f t="shared" si="101"/>
        <v>1801148.2199999997</v>
      </c>
      <c r="AR232" s="19">
        <f t="shared" si="101"/>
        <v>8943462.1500000004</v>
      </c>
      <c r="AS232" s="19">
        <f t="shared" si="101"/>
        <v>1782892.03</v>
      </c>
      <c r="AT232" s="19">
        <f t="shared" si="101"/>
        <v>1162492.49</v>
      </c>
      <c r="AU232" s="19">
        <f t="shared" si="101"/>
        <v>3676366.3800000004</v>
      </c>
      <c r="AV232" s="19">
        <f t="shared" si="101"/>
        <v>6089118.3499999996</v>
      </c>
      <c r="AW232" s="19">
        <f t="shared" si="101"/>
        <v>1965405.49</v>
      </c>
      <c r="AX232" s="19">
        <f t="shared" si="101"/>
        <v>2375643.4900000002</v>
      </c>
      <c r="AY232" s="19">
        <f t="shared" si="101"/>
        <v>1143161.1299999999</v>
      </c>
      <c r="AZ232" s="19">
        <f t="shared" si="101"/>
        <v>2981743.97</v>
      </c>
      <c r="BA232" s="19">
        <f t="shared" si="101"/>
        <v>3151094.25</v>
      </c>
      <c r="BB232" s="19">
        <f t="shared" si="101"/>
        <v>4689401.6099999994</v>
      </c>
      <c r="BC232" s="19">
        <f t="shared" si="101"/>
        <v>9606441.5899999999</v>
      </c>
      <c r="BD232" s="19">
        <f t="shared" si="101"/>
        <v>1640921.9</v>
      </c>
      <c r="BE232" s="19">
        <f t="shared" si="101"/>
        <v>221985981.89000008</v>
      </c>
      <c r="BF232" s="19">
        <f t="shared" si="101"/>
        <v>78600820.280000001</v>
      </c>
      <c r="BG232" s="19">
        <f t="shared" si="101"/>
        <v>64957724.339999996</v>
      </c>
      <c r="BH232" s="19">
        <f t="shared" si="101"/>
        <v>78427437.269999981</v>
      </c>
    </row>
    <row r="233" spans="5:60" x14ac:dyDescent="0.2">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c r="BG233" s="19"/>
      <c r="BH233" s="19"/>
    </row>
    <row r="234" spans="5:60" x14ac:dyDescent="0.2">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c r="BG234" s="19"/>
      <c r="BH234" s="19"/>
    </row>
    <row r="235" spans="5:60" x14ac:dyDescent="0.2">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row>
    <row r="236" spans="5:60" x14ac:dyDescent="0.2">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row>
    <row r="237" spans="5:60" x14ac:dyDescent="0.2">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row>
    <row r="238" spans="5:60" x14ac:dyDescent="0.2">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row>
    <row r="239" spans="5:60" x14ac:dyDescent="0.2">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row>
    <row r="240" spans="5:60" x14ac:dyDescent="0.2">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row>
    <row r="241" spans="6:60" x14ac:dyDescent="0.2">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row>
    <row r="242" spans="6:60" x14ac:dyDescent="0.2">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row>
    <row r="243" spans="6:60" x14ac:dyDescent="0.2">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c r="BG243" s="19"/>
      <c r="BH243"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864</v>
      </c>
      <c r="B2" s="7"/>
      <c r="C2" s="7"/>
      <c r="D2" s="7"/>
      <c r="E2" s="16"/>
    </row>
    <row r="4" spans="1:6" ht="15" thickBot="1" x14ac:dyDescent="0.25">
      <c r="E4" s="86" t="s">
        <v>581</v>
      </c>
    </row>
    <row r="5" spans="1:6" ht="15.75" thickBot="1" x14ac:dyDescent="0.3">
      <c r="A5" s="8" t="s">
        <v>622</v>
      </c>
      <c r="E5" s="92" t="s">
        <v>55</v>
      </c>
    </row>
    <row r="8" spans="1:6" ht="20.25" x14ac:dyDescent="0.3">
      <c r="A8" s="114">
        <v>1</v>
      </c>
      <c r="B8" s="114"/>
      <c r="C8" s="114"/>
      <c r="D8" s="114"/>
      <c r="E8" s="114" t="s">
        <v>235</v>
      </c>
      <c r="F8" s="128">
        <f>HLOOKUP($E$5,'5. Bilan 2023'!$F$4:$BD$227,2,0)</f>
        <v>16768646.529999999</v>
      </c>
    </row>
    <row r="9" spans="1:6" ht="15" x14ac:dyDescent="0.25">
      <c r="A9" s="16"/>
      <c r="B9" s="116">
        <v>10</v>
      </c>
      <c r="C9" s="116"/>
      <c r="D9" s="116"/>
      <c r="E9" s="116" t="s">
        <v>236</v>
      </c>
      <c r="F9" s="117">
        <f>HLOOKUP($E$5,'5. Bilan 2023'!$F$4:$BD$227,3,0)</f>
        <v>6225791.5600000005</v>
      </c>
    </row>
    <row r="10" spans="1:6" ht="15" x14ac:dyDescent="0.25">
      <c r="A10" s="17"/>
      <c r="B10" s="17"/>
      <c r="C10" s="85">
        <v>100</v>
      </c>
      <c r="D10" s="85"/>
      <c r="E10" s="85" t="s">
        <v>237</v>
      </c>
      <c r="F10" s="129">
        <f>SUM(F11:F16)</f>
        <v>4983487.74</v>
      </c>
    </row>
    <row r="11" spans="1:6" x14ac:dyDescent="0.2">
      <c r="D11" s="8">
        <v>1000</v>
      </c>
      <c r="E11" s="8" t="s">
        <v>307</v>
      </c>
      <c r="F11" s="13">
        <f>HLOOKUP($E$5,'5. Bilan 2023'!$F$4:$BD$227,5,0)</f>
        <v>688.85</v>
      </c>
    </row>
    <row r="12" spans="1:6" x14ac:dyDescent="0.2">
      <c r="D12" s="8">
        <v>1001</v>
      </c>
      <c r="E12" s="8" t="s">
        <v>308</v>
      </c>
      <c r="F12" s="13">
        <f>HLOOKUP($E$5,'5. Bilan 2023'!$F$4:$BD$227,6,0)</f>
        <v>1171365.3</v>
      </c>
    </row>
    <row r="13" spans="1:6" x14ac:dyDescent="0.2">
      <c r="D13" s="8">
        <v>1002</v>
      </c>
      <c r="E13" s="8" t="s">
        <v>316</v>
      </c>
      <c r="F13" s="13">
        <f>HLOOKUP($E$5,'5. Bilan 2023'!$F$4:$BD$227,7,0)</f>
        <v>3811433.59</v>
      </c>
    </row>
    <row r="14" spans="1:6" x14ac:dyDescent="0.2">
      <c r="D14" s="8">
        <v>1003</v>
      </c>
      <c r="E14" s="8" t="s">
        <v>309</v>
      </c>
      <c r="F14" s="13">
        <f>HLOOKUP($E$5,'5. Bilan 2023'!$F$4:$BD$227,8,0)</f>
        <v>0</v>
      </c>
    </row>
    <row r="15" spans="1:6" x14ac:dyDescent="0.2">
      <c r="D15" s="8">
        <v>1004</v>
      </c>
      <c r="E15" s="8" t="s">
        <v>310</v>
      </c>
      <c r="F15" s="13">
        <f>HLOOKUP($E$5,'5. Bilan 2023'!$F$4:$BD$227,9,0)</f>
        <v>0</v>
      </c>
    </row>
    <row r="16" spans="1:6" x14ac:dyDescent="0.2">
      <c r="D16" s="8">
        <v>1009</v>
      </c>
      <c r="E16" s="8" t="s">
        <v>311</v>
      </c>
      <c r="F16" s="13">
        <f>HLOOKUP($E$5,'5. Bilan 2023'!$F$4:$BD$227,10,0)</f>
        <v>0</v>
      </c>
    </row>
    <row r="17" spans="1:6" x14ac:dyDescent="0.2">
      <c r="F17" s="13"/>
    </row>
    <row r="18" spans="1:6" ht="15" x14ac:dyDescent="0.25">
      <c r="A18" s="17"/>
      <c r="B18" s="17"/>
      <c r="C18" s="85">
        <v>101</v>
      </c>
      <c r="D18" s="85"/>
      <c r="E18" s="85" t="s">
        <v>238</v>
      </c>
      <c r="F18" s="107">
        <f>SUM(F19:F26)</f>
        <v>824502.39999999991</v>
      </c>
    </row>
    <row r="19" spans="1:6" x14ac:dyDescent="0.2">
      <c r="D19" s="8">
        <v>1010</v>
      </c>
      <c r="E19" s="8" t="s">
        <v>312</v>
      </c>
      <c r="F19" s="13">
        <f>HLOOKUP($E$5,'5. Bilan 2023'!$F$4:$BD$227,13,0)</f>
        <v>218065.05</v>
      </c>
    </row>
    <row r="20" spans="1:6" x14ac:dyDescent="0.2">
      <c r="D20" s="8">
        <v>1011</v>
      </c>
      <c r="E20" s="8" t="s">
        <v>393</v>
      </c>
      <c r="F20" s="13">
        <f>HLOOKUP($E$5,'5. Bilan 2023'!$F$4:$BD$227,14,0)</f>
        <v>0</v>
      </c>
    </row>
    <row r="21" spans="1:6" x14ac:dyDescent="0.2">
      <c r="D21" s="8">
        <v>1012</v>
      </c>
      <c r="E21" s="8" t="s">
        <v>313</v>
      </c>
      <c r="F21" s="13">
        <f>HLOOKUP($E$5,'5. Bilan 2023'!$F$4:$BD$227,15,0)</f>
        <v>731448.42</v>
      </c>
    </row>
    <row r="22" spans="1:6" x14ac:dyDescent="0.2">
      <c r="D22" s="8">
        <v>1013</v>
      </c>
      <c r="E22" s="8" t="s">
        <v>314</v>
      </c>
      <c r="F22" s="13">
        <f>HLOOKUP($E$5,'5. Bilan 2023'!$F$4:$BD$227,16,0)</f>
        <v>0</v>
      </c>
    </row>
    <row r="23" spans="1:6" x14ac:dyDescent="0.2">
      <c r="D23" s="8">
        <v>1014</v>
      </c>
      <c r="E23" s="8" t="s">
        <v>315</v>
      </c>
      <c r="F23" s="13">
        <f>HLOOKUP($E$5,'5. Bilan 2023'!$F$4:$BD$227,17,0)</f>
        <v>0</v>
      </c>
    </row>
    <row r="24" spans="1:6" x14ac:dyDescent="0.2">
      <c r="D24" s="8">
        <v>1015</v>
      </c>
      <c r="E24" s="8" t="s">
        <v>317</v>
      </c>
      <c r="F24" s="13">
        <f>HLOOKUP($E$5,'5. Bilan 2023'!$F$4:$BD$227,18,0)</f>
        <v>0</v>
      </c>
    </row>
    <row r="25" spans="1:6" x14ac:dyDescent="0.2">
      <c r="D25" s="8">
        <v>1016</v>
      </c>
      <c r="E25" s="8" t="s">
        <v>318</v>
      </c>
      <c r="F25" s="13">
        <f>HLOOKUP($E$5,'5. Bilan 2023'!$F$4:$BD$227,19,0)</f>
        <v>0</v>
      </c>
    </row>
    <row r="26" spans="1:6" x14ac:dyDescent="0.2">
      <c r="D26" s="8">
        <v>1019</v>
      </c>
      <c r="E26" s="8" t="s">
        <v>319</v>
      </c>
      <c r="F26" s="13">
        <f>HLOOKUP($E$5,'5. Bilan 2023'!$F$4:$BD$227,20,0)</f>
        <v>-125011.07</v>
      </c>
    </row>
    <row r="27" spans="1:6" x14ac:dyDescent="0.2">
      <c r="F27" s="13"/>
    </row>
    <row r="28" spans="1:6" ht="15" x14ac:dyDescent="0.25">
      <c r="C28" s="85">
        <v>102</v>
      </c>
      <c r="D28" s="85"/>
      <c r="E28" s="85" t="s">
        <v>239</v>
      </c>
      <c r="F28" s="107">
        <f>SUM(F29:F32)</f>
        <v>0</v>
      </c>
    </row>
    <row r="29" spans="1:6" x14ac:dyDescent="0.2">
      <c r="D29" s="8">
        <v>1020</v>
      </c>
      <c r="E29" s="8" t="s">
        <v>320</v>
      </c>
      <c r="F29" s="13">
        <f>HLOOKUP($E$5,'5. Bilan 2023'!$F$4:$BD$227,23,0)</f>
        <v>0</v>
      </c>
    </row>
    <row r="30" spans="1:6" x14ac:dyDescent="0.2">
      <c r="D30" s="8">
        <v>1022</v>
      </c>
      <c r="E30" s="8" t="s">
        <v>321</v>
      </c>
      <c r="F30" s="13">
        <f>HLOOKUP($E$5,'5. Bilan 2023'!$F$4:$BD$227,24,0)</f>
        <v>0</v>
      </c>
    </row>
    <row r="31" spans="1:6" x14ac:dyDescent="0.2">
      <c r="D31" s="8">
        <v>1023</v>
      </c>
      <c r="E31" s="8" t="s">
        <v>322</v>
      </c>
      <c r="F31" s="13">
        <f>HLOOKUP($E$5,'5. Bilan 2023'!$F$4:$BD$227,25,0)</f>
        <v>0</v>
      </c>
    </row>
    <row r="32" spans="1:6" x14ac:dyDescent="0.2">
      <c r="D32" s="8">
        <v>1029</v>
      </c>
      <c r="E32" s="8" t="s">
        <v>323</v>
      </c>
      <c r="F32" s="13">
        <f>HLOOKUP($E$5,'5. Bilan 2023'!$F$4:$BD$227,26,0)</f>
        <v>0</v>
      </c>
    </row>
    <row r="33" spans="3:6" x14ac:dyDescent="0.2">
      <c r="F33" s="13"/>
    </row>
    <row r="34" spans="3:6" ht="15" x14ac:dyDescent="0.25">
      <c r="C34" s="85">
        <v>104</v>
      </c>
      <c r="D34" s="85"/>
      <c r="E34" s="85" t="s">
        <v>240</v>
      </c>
      <c r="F34" s="107">
        <f>SUM(F35:F42)</f>
        <v>151825.37</v>
      </c>
    </row>
    <row r="35" spans="3:6" x14ac:dyDescent="0.2">
      <c r="D35" s="8">
        <v>1040</v>
      </c>
      <c r="E35" s="8" t="s">
        <v>60</v>
      </c>
      <c r="F35" s="13">
        <f>HLOOKUP($E$5,'5. Bilan 2023'!$F$4:$BD$227,29,0)</f>
        <v>0</v>
      </c>
    </row>
    <row r="36" spans="3:6" x14ac:dyDescent="0.2">
      <c r="D36" s="8">
        <v>1041</v>
      </c>
      <c r="E36" s="8" t="s">
        <v>324</v>
      </c>
      <c r="F36" s="13">
        <f>HLOOKUP($E$5,'5. Bilan 2023'!$F$4:$BD$227,30,0)</f>
        <v>84988.7</v>
      </c>
    </row>
    <row r="37" spans="3:6" x14ac:dyDescent="0.2">
      <c r="D37" s="8">
        <v>1042</v>
      </c>
      <c r="E37" s="8" t="s">
        <v>325</v>
      </c>
      <c r="F37" s="13">
        <f>HLOOKUP($E$5,'5. Bilan 2023'!$F$4:$BD$227,31,0)</f>
        <v>66836.600000000006</v>
      </c>
    </row>
    <row r="38" spans="3:6" x14ac:dyDescent="0.2">
      <c r="D38" s="8">
        <v>1043</v>
      </c>
      <c r="E38" s="8" t="s">
        <v>326</v>
      </c>
      <c r="F38" s="13">
        <f>HLOOKUP($E$5,'5. Bilan 2023'!$F$4:$BD$227,32,0)</f>
        <v>7.0000000000000007E-2</v>
      </c>
    </row>
    <row r="39" spans="3:6" x14ac:dyDescent="0.2">
      <c r="D39" s="8">
        <v>1044</v>
      </c>
      <c r="E39" s="8" t="s">
        <v>327</v>
      </c>
      <c r="F39" s="13">
        <f>HLOOKUP($E$5,'5. Bilan 2023'!$F$4:$BD$227,33,0)</f>
        <v>0</v>
      </c>
    </row>
    <row r="40" spans="3:6" x14ac:dyDescent="0.2">
      <c r="D40" s="8">
        <v>1045</v>
      </c>
      <c r="E40" s="8" t="s">
        <v>328</v>
      </c>
      <c r="F40" s="13">
        <f>HLOOKUP($E$5,'5. Bilan 2023'!$F$4:$BD$227,34,0)</f>
        <v>0</v>
      </c>
    </row>
    <row r="41" spans="3:6" x14ac:dyDescent="0.2">
      <c r="D41" s="8">
        <v>1046</v>
      </c>
      <c r="E41" s="8" t="s">
        <v>329</v>
      </c>
      <c r="F41" s="13">
        <f>HLOOKUP($E$5,'5. Bilan 2023'!$F$4:$BD$227,35,0)</f>
        <v>0</v>
      </c>
    </row>
    <row r="42" spans="3:6" x14ac:dyDescent="0.2">
      <c r="D42" s="8">
        <v>1049</v>
      </c>
      <c r="E42" s="8" t="s">
        <v>330</v>
      </c>
      <c r="F42" s="13">
        <f>HLOOKUP($E$5,'5. Bilan 2023'!$F$4:$BD$227,36,0)</f>
        <v>0</v>
      </c>
    </row>
    <row r="43" spans="3:6" x14ac:dyDescent="0.2">
      <c r="F43" s="13"/>
    </row>
    <row r="44" spans="3:6" ht="15" x14ac:dyDescent="0.25">
      <c r="C44" s="85">
        <v>106</v>
      </c>
      <c r="D44" s="85"/>
      <c r="E44" s="85" t="s">
        <v>241</v>
      </c>
      <c r="F44" s="107">
        <f>SUM(F45:F49)</f>
        <v>0</v>
      </c>
    </row>
    <row r="45" spans="3:6" x14ac:dyDescent="0.2">
      <c r="D45" s="8">
        <v>1060</v>
      </c>
      <c r="E45" s="8" t="s">
        <v>331</v>
      </c>
      <c r="F45" s="13">
        <f>HLOOKUP($E$5,'5. Bilan 2023'!$F$4:$BD$227,39,0)</f>
        <v>0</v>
      </c>
    </row>
    <row r="46" spans="3:6" x14ac:dyDescent="0.2">
      <c r="D46" s="8">
        <v>1061</v>
      </c>
      <c r="E46" s="8" t="s">
        <v>332</v>
      </c>
      <c r="F46" s="13">
        <f>HLOOKUP($E$5,'5. Bilan 2023'!$F$4:$BD$227,40,0)</f>
        <v>0</v>
      </c>
    </row>
    <row r="47" spans="3:6" x14ac:dyDescent="0.2">
      <c r="D47" s="8">
        <v>1062</v>
      </c>
      <c r="E47" s="8" t="s">
        <v>333</v>
      </c>
      <c r="F47" s="13">
        <f>HLOOKUP($E$5,'5. Bilan 2023'!$F$4:$BD$227,41,0)</f>
        <v>0</v>
      </c>
    </row>
    <row r="48" spans="3:6" x14ac:dyDescent="0.2">
      <c r="D48" s="8">
        <v>1063</v>
      </c>
      <c r="E48" s="8" t="s">
        <v>334</v>
      </c>
      <c r="F48" s="13">
        <f>HLOOKUP($E$5,'5. Bilan 2023'!$F$4:$BD$227,42,0)</f>
        <v>0</v>
      </c>
    </row>
    <row r="49" spans="3:6" x14ac:dyDescent="0.2">
      <c r="D49" s="8">
        <v>1068</v>
      </c>
      <c r="E49" s="8" t="s">
        <v>335</v>
      </c>
      <c r="F49" s="13">
        <f>HLOOKUP($E$5,'5. Bilan 2023'!$F$4:$BD$227,43,0)</f>
        <v>0</v>
      </c>
    </row>
    <row r="50" spans="3:6" x14ac:dyDescent="0.2">
      <c r="F50" s="13"/>
    </row>
    <row r="51" spans="3:6" ht="15" x14ac:dyDescent="0.25">
      <c r="C51" s="85">
        <v>107</v>
      </c>
      <c r="D51" s="85"/>
      <c r="E51" s="85" t="s">
        <v>340</v>
      </c>
      <c r="F51" s="107">
        <f>SUM(F52:F55)</f>
        <v>3821.35</v>
      </c>
    </row>
    <row r="52" spans="3:6" x14ac:dyDescent="0.2">
      <c r="D52" s="8">
        <v>1070</v>
      </c>
      <c r="E52" s="8" t="s">
        <v>336</v>
      </c>
      <c r="F52" s="13">
        <f>HLOOKUP($E$5,'5. Bilan 2023'!$F$4:$BD$227,46,0)</f>
        <v>3821.35</v>
      </c>
    </row>
    <row r="53" spans="3:6" x14ac:dyDescent="0.2">
      <c r="D53" s="8">
        <v>1071</v>
      </c>
      <c r="E53" s="8" t="s">
        <v>337</v>
      </c>
      <c r="F53" s="13">
        <f>HLOOKUP($E$5,'5. Bilan 2023'!$F$4:$BD$227,47,0)</f>
        <v>0</v>
      </c>
    </row>
    <row r="54" spans="3:6" x14ac:dyDescent="0.2">
      <c r="D54" s="8">
        <v>1072</v>
      </c>
      <c r="E54" s="8" t="s">
        <v>338</v>
      </c>
      <c r="F54" s="13">
        <f>HLOOKUP($E$5,'5. Bilan 2023'!$F$4:$BD$227,48,0)</f>
        <v>0</v>
      </c>
    </row>
    <row r="55" spans="3:6" x14ac:dyDescent="0.2">
      <c r="D55" s="8">
        <v>1079</v>
      </c>
      <c r="E55" s="8" t="s">
        <v>339</v>
      </c>
      <c r="F55" s="13">
        <f>HLOOKUP($E$5,'5. Bilan 2023'!$F$4:$BD$227,49,0)</f>
        <v>0</v>
      </c>
    </row>
    <row r="56" spans="3:6" x14ac:dyDescent="0.2">
      <c r="F56" s="13"/>
    </row>
    <row r="57" spans="3:6" ht="15" x14ac:dyDescent="0.25">
      <c r="C57" s="85">
        <v>108</v>
      </c>
      <c r="D57" s="85"/>
      <c r="E57" s="85" t="s">
        <v>242</v>
      </c>
      <c r="F57" s="107">
        <f>SUM(F58:F63)</f>
        <v>262154.7</v>
      </c>
    </row>
    <row r="58" spans="3:6" x14ac:dyDescent="0.2">
      <c r="D58" s="8">
        <v>1080</v>
      </c>
      <c r="E58" s="8" t="s">
        <v>341</v>
      </c>
      <c r="F58" s="13">
        <f>HLOOKUP($E$5,'5. Bilan 2023'!$F$4:$BD$227,52,0)</f>
        <v>0</v>
      </c>
    </row>
    <row r="59" spans="3:6" x14ac:dyDescent="0.2">
      <c r="D59" s="8">
        <v>1084</v>
      </c>
      <c r="E59" s="8" t="s">
        <v>342</v>
      </c>
      <c r="F59" s="13">
        <f>HLOOKUP($E$5,'5. Bilan 2023'!$F$4:$BD$227,53,0)</f>
        <v>262154.7</v>
      </c>
    </row>
    <row r="60" spans="3:6" x14ac:dyDescent="0.2">
      <c r="D60" s="8">
        <v>1086</v>
      </c>
      <c r="E60" s="8" t="s">
        <v>343</v>
      </c>
      <c r="F60" s="13">
        <f>HLOOKUP($E$5,'5. Bilan 2023'!$F$4:$BD$227,54,0)</f>
        <v>0</v>
      </c>
    </row>
    <row r="61" spans="3:6" x14ac:dyDescent="0.2">
      <c r="D61" s="8">
        <v>1087</v>
      </c>
      <c r="E61" s="8" t="s">
        <v>344</v>
      </c>
      <c r="F61" s="13">
        <f>HLOOKUP($E$5,'5. Bilan 2023'!$F$4:$BD$227,55,0)</f>
        <v>0</v>
      </c>
    </row>
    <row r="62" spans="3:6" x14ac:dyDescent="0.2">
      <c r="D62" s="8">
        <v>1088</v>
      </c>
      <c r="E62" s="8" t="s">
        <v>345</v>
      </c>
      <c r="F62" s="13">
        <f>HLOOKUP($E$5,'5. Bilan 2023'!$F$4:$BD$227,56,0)</f>
        <v>0</v>
      </c>
    </row>
    <row r="63" spans="3:6" x14ac:dyDescent="0.2">
      <c r="D63" s="8">
        <v>1089</v>
      </c>
      <c r="E63" s="8" t="s">
        <v>346</v>
      </c>
      <c r="F63" s="13">
        <f>HLOOKUP($E$5,'5. Bilan 2023'!$F$4:$BD$227,57,0)</f>
        <v>0</v>
      </c>
    </row>
    <row r="64" spans="3:6" x14ac:dyDescent="0.2">
      <c r="F64" s="13"/>
    </row>
    <row r="65" spans="2:6" ht="15" x14ac:dyDescent="0.25">
      <c r="C65" s="85">
        <v>109</v>
      </c>
      <c r="D65" s="85"/>
      <c r="E65" s="85" t="s">
        <v>347</v>
      </c>
      <c r="F65" s="107">
        <f>SUM(F66:F69)</f>
        <v>0</v>
      </c>
    </row>
    <row r="66" spans="2:6" x14ac:dyDescent="0.2">
      <c r="D66" s="8">
        <v>1090</v>
      </c>
      <c r="E66" s="8" t="s">
        <v>347</v>
      </c>
      <c r="F66" s="13">
        <f>HLOOKUP($E$5,'5. Bilan 2023'!$F$4:$BD$227,60,0)</f>
        <v>0</v>
      </c>
    </row>
    <row r="67" spans="2:6" x14ac:dyDescent="0.2">
      <c r="D67" s="8">
        <v>1091</v>
      </c>
      <c r="E67" s="8" t="s">
        <v>348</v>
      </c>
      <c r="F67" s="13">
        <f>HLOOKUP($E$5,'5. Bilan 2023'!$F$4:$BD$227,61,0)</f>
        <v>0</v>
      </c>
    </row>
    <row r="68" spans="2:6" x14ac:dyDescent="0.2">
      <c r="D68" s="8">
        <v>1092</v>
      </c>
      <c r="E68" s="8" t="s">
        <v>349</v>
      </c>
      <c r="F68" s="13">
        <f>HLOOKUP($E$5,'5. Bilan 2023'!$F$4:$BD$227,62,0)</f>
        <v>0</v>
      </c>
    </row>
    <row r="69" spans="2:6" x14ac:dyDescent="0.2">
      <c r="D69" s="8">
        <v>1093</v>
      </c>
      <c r="E69" s="8" t="s">
        <v>350</v>
      </c>
      <c r="F69" s="13">
        <f>HLOOKUP($E$5,'5. Bilan 2023'!$F$4:$BD$227,63,0)</f>
        <v>0</v>
      </c>
    </row>
    <row r="70" spans="2:6" x14ac:dyDescent="0.2">
      <c r="F70" s="13"/>
    </row>
    <row r="71" spans="2:6" ht="15" x14ac:dyDescent="0.25">
      <c r="B71" s="118">
        <v>14</v>
      </c>
      <c r="C71" s="118"/>
      <c r="D71" s="118"/>
      <c r="E71" s="118" t="s">
        <v>243</v>
      </c>
      <c r="F71" s="119">
        <f>HLOOKUP($E$5,'5. Bilan 2023'!$F$4:$BD$227,65,0)</f>
        <v>10542854.969999999</v>
      </c>
    </row>
    <row r="72" spans="2:6" ht="15" x14ac:dyDescent="0.25">
      <c r="C72" s="85">
        <v>140</v>
      </c>
      <c r="D72" s="85"/>
      <c r="E72" s="85" t="s">
        <v>245</v>
      </c>
      <c r="F72" s="107">
        <f>SUM(F73:F81)</f>
        <v>10260716.879999999</v>
      </c>
    </row>
    <row r="73" spans="2:6" x14ac:dyDescent="0.2">
      <c r="D73" s="8">
        <v>1400</v>
      </c>
      <c r="E73" s="8" t="s">
        <v>351</v>
      </c>
      <c r="F73" s="13">
        <f>HLOOKUP($E$5,'5. Bilan 2023'!$F$4:$BD$227,67,0)</f>
        <v>69192.31</v>
      </c>
    </row>
    <row r="74" spans="2:6" x14ac:dyDescent="0.2">
      <c r="D74" s="8">
        <v>1401</v>
      </c>
      <c r="E74" s="8" t="s">
        <v>352</v>
      </c>
      <c r="F74" s="13">
        <f>HLOOKUP($E$5,'5. Bilan 2023'!$F$4:$BD$227,68,0)</f>
        <v>2617282.5499999998</v>
      </c>
    </row>
    <row r="75" spans="2:6" x14ac:dyDescent="0.2">
      <c r="D75" s="8">
        <v>1402</v>
      </c>
      <c r="E75" s="8" t="s">
        <v>353</v>
      </c>
      <c r="F75" s="13">
        <f>HLOOKUP($E$5,'5. Bilan 2023'!$F$4:$BD$227,69,0)</f>
        <v>0</v>
      </c>
    </row>
    <row r="76" spans="2:6" x14ac:dyDescent="0.2">
      <c r="D76" s="8">
        <v>1403</v>
      </c>
      <c r="E76" s="8" t="s">
        <v>354</v>
      </c>
      <c r="F76" s="13">
        <f>HLOOKUP($E$5,'5. Bilan 2023'!$F$4:$BD$227,70,0)</f>
        <v>5089386.58</v>
      </c>
    </row>
    <row r="77" spans="2:6" x14ac:dyDescent="0.2">
      <c r="D77" s="8">
        <v>1404</v>
      </c>
      <c r="E77" s="8" t="s">
        <v>355</v>
      </c>
      <c r="F77" s="13">
        <f>HLOOKUP($E$5,'5. Bilan 2023'!$F$4:$BD$227,71,0)</f>
        <v>532219.19999999995</v>
      </c>
    </row>
    <row r="78" spans="2:6" x14ac:dyDescent="0.2">
      <c r="D78" s="8">
        <v>1405</v>
      </c>
      <c r="E78" s="8" t="s">
        <v>356</v>
      </c>
      <c r="F78" s="13">
        <f>HLOOKUP($E$5,'5. Bilan 2023'!$F$4:$BD$227,72,0)</f>
        <v>0</v>
      </c>
    </row>
    <row r="79" spans="2:6" x14ac:dyDescent="0.2">
      <c r="D79" s="8">
        <v>1406</v>
      </c>
      <c r="E79" s="8" t="s">
        <v>357</v>
      </c>
      <c r="F79" s="13">
        <f>HLOOKUP($E$5,'5. Bilan 2023'!$F$4:$BD$227,73,0)</f>
        <v>74707.37</v>
      </c>
    </row>
    <row r="80" spans="2:6" x14ac:dyDescent="0.2">
      <c r="D80" s="8">
        <v>1407</v>
      </c>
      <c r="E80" s="8" t="s">
        <v>358</v>
      </c>
      <c r="F80" s="13">
        <f>HLOOKUP($E$5,'5. Bilan 2023'!$F$4:$BD$227,74,0)</f>
        <v>1877928.87</v>
      </c>
    </row>
    <row r="81" spans="3:6" x14ac:dyDescent="0.2">
      <c r="D81" s="8">
        <v>1409</v>
      </c>
      <c r="E81" s="8" t="s">
        <v>359</v>
      </c>
      <c r="F81" s="13">
        <f>HLOOKUP($E$5,'5. Bilan 2023'!$F$4:$BD$227,75,0)</f>
        <v>0</v>
      </c>
    </row>
    <row r="82" spans="3:6" x14ac:dyDescent="0.2">
      <c r="F82" s="13"/>
    </row>
    <row r="83" spans="3:6" ht="15" x14ac:dyDescent="0.25">
      <c r="C83" s="85">
        <v>142</v>
      </c>
      <c r="D83" s="85"/>
      <c r="E83" s="85" t="s">
        <v>571</v>
      </c>
      <c r="F83" s="107">
        <f>SUM(F84:F87)</f>
        <v>31103.85</v>
      </c>
    </row>
    <row r="84" spans="3:6" x14ac:dyDescent="0.2">
      <c r="D84" s="17">
        <v>1420</v>
      </c>
      <c r="E84" s="17" t="s">
        <v>360</v>
      </c>
      <c r="F84" s="13">
        <f>HLOOKUP($E$5,'5. Bilan 2023'!$F$4:$BD$227,78,0)</f>
        <v>0</v>
      </c>
    </row>
    <row r="85" spans="3:6" x14ac:dyDescent="0.2">
      <c r="D85" s="17">
        <v>1421</v>
      </c>
      <c r="E85" s="17" t="s">
        <v>361</v>
      </c>
      <c r="F85" s="13">
        <f>HLOOKUP($E$5,'5. Bilan 2023'!$F$4:$BD$227,79,0)</f>
        <v>0</v>
      </c>
    </row>
    <row r="86" spans="3:6" x14ac:dyDescent="0.2">
      <c r="D86" s="17">
        <v>1427</v>
      </c>
      <c r="E86" s="17" t="s">
        <v>570</v>
      </c>
      <c r="F86" s="13">
        <f>HLOOKUP($E$5,'5. Bilan 2023'!$F$4:$BD$227,80,0)</f>
        <v>31103.85</v>
      </c>
    </row>
    <row r="87" spans="3:6" x14ac:dyDescent="0.2">
      <c r="D87" s="17">
        <v>1429</v>
      </c>
      <c r="E87" s="17" t="s">
        <v>459</v>
      </c>
      <c r="F87" s="13">
        <f>HLOOKUP($E$5,'5. Bilan 2023'!$F$4:$BD$227,81,0)</f>
        <v>0</v>
      </c>
    </row>
    <row r="88" spans="3:6" x14ac:dyDescent="0.2">
      <c r="F88" s="13"/>
    </row>
    <row r="89" spans="3:6" ht="15" x14ac:dyDescent="0.25">
      <c r="C89" s="85">
        <v>144</v>
      </c>
      <c r="D89" s="85"/>
      <c r="E89" s="85" t="s">
        <v>246</v>
      </c>
      <c r="F89" s="107">
        <f>SUM(F90:F98)</f>
        <v>0</v>
      </c>
    </row>
    <row r="90" spans="3:6" x14ac:dyDescent="0.2">
      <c r="D90" s="8">
        <v>1440</v>
      </c>
      <c r="E90" s="8" t="s">
        <v>362</v>
      </c>
      <c r="F90" s="13">
        <f>HLOOKUP($E$5,'5. Bilan 2023'!$F$4:$BD$227,84,0)</f>
        <v>0</v>
      </c>
    </row>
    <row r="91" spans="3:6" x14ac:dyDescent="0.2">
      <c r="D91" s="8">
        <v>1441</v>
      </c>
      <c r="E91" s="8" t="s">
        <v>364</v>
      </c>
      <c r="F91" s="13">
        <f>HLOOKUP($E$5,'5. Bilan 2023'!$F$4:$BD$227,85,0)</f>
        <v>0</v>
      </c>
    </row>
    <row r="92" spans="3:6" x14ac:dyDescent="0.2">
      <c r="D92" s="8">
        <v>1442</v>
      </c>
      <c r="E92" s="8" t="s">
        <v>363</v>
      </c>
      <c r="F92" s="13">
        <f>HLOOKUP($E$5,'5. Bilan 2023'!$F$4:$BD$227,86,0)</f>
        <v>0</v>
      </c>
    </row>
    <row r="93" spans="3:6" x14ac:dyDescent="0.2">
      <c r="D93" s="8">
        <v>1443</v>
      </c>
      <c r="E93" s="8" t="s">
        <v>365</v>
      </c>
      <c r="F93" s="13">
        <f>HLOOKUP($E$5,'5. Bilan 2023'!$F$4:$BD$227,87,0)</f>
        <v>0</v>
      </c>
    </row>
    <row r="94" spans="3:6" x14ac:dyDescent="0.2">
      <c r="D94" s="8">
        <v>1444</v>
      </c>
      <c r="E94" s="8" t="s">
        <v>366</v>
      </c>
      <c r="F94" s="13">
        <f>HLOOKUP($E$5,'5. Bilan 2023'!$F$4:$BD$227,88,0)</f>
        <v>0</v>
      </c>
    </row>
    <row r="95" spans="3:6" x14ac:dyDescent="0.2">
      <c r="D95" s="8">
        <v>1445</v>
      </c>
      <c r="E95" s="8" t="s">
        <v>367</v>
      </c>
      <c r="F95" s="13">
        <f>HLOOKUP($E$5,'5. Bilan 2023'!$F$4:$BD$227,89,0)</f>
        <v>0</v>
      </c>
    </row>
    <row r="96" spans="3:6" x14ac:dyDescent="0.2">
      <c r="D96" s="8">
        <v>1446</v>
      </c>
      <c r="E96" s="8" t="s">
        <v>368</v>
      </c>
      <c r="F96" s="13">
        <f>HLOOKUP($E$5,'5. Bilan 2023'!$F$4:$BD$227,90,0)</f>
        <v>0</v>
      </c>
    </row>
    <row r="97" spans="3:6" x14ac:dyDescent="0.2">
      <c r="D97" s="8">
        <v>1447</v>
      </c>
      <c r="E97" s="8" t="s">
        <v>369</v>
      </c>
      <c r="F97" s="13">
        <f>HLOOKUP($E$5,'5. Bilan 2023'!$F$4:$BD$227,91,0)</f>
        <v>0</v>
      </c>
    </row>
    <row r="98" spans="3:6" x14ac:dyDescent="0.2">
      <c r="D98" s="8">
        <v>1448</v>
      </c>
      <c r="E98" s="8" t="s">
        <v>370</v>
      </c>
      <c r="F98" s="13">
        <f>HLOOKUP($E$5,'5. Bilan 2023'!$F$4:$BD$227,92,0)</f>
        <v>0</v>
      </c>
    </row>
    <row r="99" spans="3:6" x14ac:dyDescent="0.2">
      <c r="F99" s="13"/>
    </row>
    <row r="100" spans="3:6" ht="15" x14ac:dyDescent="0.25">
      <c r="C100" s="85">
        <v>145</v>
      </c>
      <c r="D100" s="85"/>
      <c r="E100" s="85" t="s">
        <v>373</v>
      </c>
      <c r="F100" s="107">
        <f>SUM(F101:F109)</f>
        <v>0</v>
      </c>
    </row>
    <row r="101" spans="3:6" x14ac:dyDescent="0.2">
      <c r="D101" s="8">
        <v>1450</v>
      </c>
      <c r="E101" s="8" t="s">
        <v>372</v>
      </c>
      <c r="F101" s="13">
        <f>HLOOKUP($E$5,'5. Bilan 2023'!$F$4:$BD$227,95,0)</f>
        <v>0</v>
      </c>
    </row>
    <row r="102" spans="3:6" x14ac:dyDescent="0.2">
      <c r="D102" s="8">
        <v>1451</v>
      </c>
      <c r="E102" s="8" t="s">
        <v>371</v>
      </c>
      <c r="F102" s="13">
        <f>HLOOKUP($E$5,'5. Bilan 2023'!$F$4:$BD$227,96,0)</f>
        <v>0</v>
      </c>
    </row>
    <row r="103" spans="3:6" x14ac:dyDescent="0.2">
      <c r="D103" s="8">
        <v>1452</v>
      </c>
      <c r="E103" s="8" t="s">
        <v>374</v>
      </c>
      <c r="F103" s="13">
        <f>HLOOKUP($E$5,'5. Bilan 2023'!$F$4:$BD$227,97,0)</f>
        <v>0</v>
      </c>
    </row>
    <row r="104" spans="3:6" x14ac:dyDescent="0.2">
      <c r="D104" s="8">
        <v>1453</v>
      </c>
      <c r="E104" s="8" t="s">
        <v>375</v>
      </c>
      <c r="F104" s="13">
        <f>HLOOKUP($E$5,'5. Bilan 2023'!$F$4:$BD$227,98,0)</f>
        <v>0</v>
      </c>
    </row>
    <row r="105" spans="3:6" x14ac:dyDescent="0.2">
      <c r="D105" s="8">
        <v>1454</v>
      </c>
      <c r="E105" s="8" t="s">
        <v>376</v>
      </c>
      <c r="F105" s="13">
        <f>HLOOKUP($E$5,'5. Bilan 2023'!$F$4:$BD$227,99,0)</f>
        <v>0</v>
      </c>
    </row>
    <row r="106" spans="3:6" x14ac:dyDescent="0.2">
      <c r="D106" s="8">
        <v>1455</v>
      </c>
      <c r="E106" s="8" t="s">
        <v>377</v>
      </c>
      <c r="F106" s="13">
        <f>HLOOKUP($E$5,'5. Bilan 2023'!$F$4:$BD$227,100,0)</f>
        <v>0</v>
      </c>
    </row>
    <row r="107" spans="3:6" x14ac:dyDescent="0.2">
      <c r="D107" s="8">
        <v>1456</v>
      </c>
      <c r="E107" s="8" t="s">
        <v>378</v>
      </c>
      <c r="F107" s="13">
        <f>HLOOKUP($E$5,'5. Bilan 2023'!$F$4:$BD$227,101,0)</f>
        <v>0</v>
      </c>
    </row>
    <row r="108" spans="3:6" x14ac:dyDescent="0.2">
      <c r="D108" s="8">
        <v>1457</v>
      </c>
      <c r="E108" s="8" t="s">
        <v>379</v>
      </c>
      <c r="F108" s="13">
        <f>HLOOKUP($E$5,'5. Bilan 2023'!$F$4:$BD$227,102,0)</f>
        <v>0</v>
      </c>
    </row>
    <row r="109" spans="3:6" x14ac:dyDescent="0.2">
      <c r="D109" s="8">
        <v>1458</v>
      </c>
      <c r="E109" s="8" t="s">
        <v>380</v>
      </c>
      <c r="F109" s="13">
        <f>HLOOKUP($E$5,'5. Bilan 2023'!$F$4:$BD$227,103,0)</f>
        <v>0</v>
      </c>
    </row>
    <row r="110" spans="3:6" x14ac:dyDescent="0.2">
      <c r="F110" s="13"/>
    </row>
    <row r="111" spans="3:6" ht="15" x14ac:dyDescent="0.25">
      <c r="C111" s="85">
        <v>146</v>
      </c>
      <c r="D111" s="85"/>
      <c r="E111" s="85" t="s">
        <v>391</v>
      </c>
      <c r="F111" s="107">
        <f>SUM(F112:F121)</f>
        <v>251034.23999999999</v>
      </c>
    </row>
    <row r="112" spans="3:6" x14ac:dyDescent="0.2">
      <c r="D112" s="8">
        <v>1460</v>
      </c>
      <c r="E112" s="8" t="s">
        <v>388</v>
      </c>
      <c r="F112" s="13">
        <f>HLOOKUP($E$5,'5. Bilan 2023'!$F$4:$BD$227,106,0)</f>
        <v>0</v>
      </c>
    </row>
    <row r="113" spans="1:6" x14ac:dyDescent="0.2">
      <c r="D113" s="8">
        <v>1461</v>
      </c>
      <c r="E113" s="8" t="s">
        <v>389</v>
      </c>
      <c r="F113" s="13">
        <f>HLOOKUP($E$5,'5. Bilan 2023'!$F$4:$BD$227,107,0)</f>
        <v>0</v>
      </c>
    </row>
    <row r="114" spans="1:6" x14ac:dyDescent="0.2">
      <c r="D114" s="8">
        <v>1462</v>
      </c>
      <c r="E114" s="8" t="s">
        <v>381</v>
      </c>
      <c r="F114" s="13">
        <f>HLOOKUP($E$5,'5. Bilan 2023'!$F$4:$BD$227,108,0)</f>
        <v>251034.23999999999</v>
      </c>
    </row>
    <row r="115" spans="1:6" x14ac:dyDescent="0.2">
      <c r="D115" s="8">
        <v>1463</v>
      </c>
      <c r="E115" s="8" t="s">
        <v>382</v>
      </c>
      <c r="F115" s="13">
        <f>HLOOKUP($E$5,'5. Bilan 2023'!$F$4:$BD$227,109,0)</f>
        <v>0</v>
      </c>
    </row>
    <row r="116" spans="1:6" x14ac:dyDescent="0.2">
      <c r="D116" s="8">
        <v>1464</v>
      </c>
      <c r="E116" s="8" t="s">
        <v>383</v>
      </c>
      <c r="F116" s="13">
        <f>HLOOKUP($E$5,'5. Bilan 2023'!$F$4:$BD$227,110,0)</f>
        <v>0</v>
      </c>
    </row>
    <row r="117" spans="1:6" x14ac:dyDescent="0.2">
      <c r="D117" s="8">
        <v>1465</v>
      </c>
      <c r="E117" s="8" t="s">
        <v>384</v>
      </c>
      <c r="F117" s="13">
        <f>HLOOKUP($E$5,'5. Bilan 2023'!$F$4:$BD$227,111,0)</f>
        <v>0</v>
      </c>
    </row>
    <row r="118" spans="1:6" x14ac:dyDescent="0.2">
      <c r="D118" s="8">
        <v>1466</v>
      </c>
      <c r="E118" s="8" t="s">
        <v>390</v>
      </c>
      <c r="F118" s="13">
        <f>HLOOKUP($E$5,'5. Bilan 2023'!$F$4:$BD$227,112,0)</f>
        <v>0</v>
      </c>
    </row>
    <row r="119" spans="1:6" x14ac:dyDescent="0.2">
      <c r="D119" s="8">
        <v>1467</v>
      </c>
      <c r="E119" s="8" t="s">
        <v>385</v>
      </c>
      <c r="F119" s="13">
        <f>HLOOKUP($E$5,'5. Bilan 2023'!$F$4:$BD$227,113,0)</f>
        <v>0</v>
      </c>
    </row>
    <row r="120" spans="1:6" x14ac:dyDescent="0.2">
      <c r="D120" s="8">
        <v>1468</v>
      </c>
      <c r="E120" s="8" t="s">
        <v>386</v>
      </c>
      <c r="F120" s="13">
        <f>HLOOKUP($E$5,'5. Bilan 2023'!$F$4:$BD$227,114,0)</f>
        <v>0</v>
      </c>
    </row>
    <row r="121" spans="1:6" x14ac:dyDescent="0.2">
      <c r="D121" s="8">
        <v>1469</v>
      </c>
      <c r="E121" s="8" t="s">
        <v>387</v>
      </c>
      <c r="F121" s="13">
        <f>HLOOKUP($E$5,'5. Bilan 2023'!$F$4:$BD$227,115,0)</f>
        <v>0</v>
      </c>
    </row>
    <row r="122" spans="1:6" x14ac:dyDescent="0.2">
      <c r="F122" s="13"/>
    </row>
    <row r="123" spans="1:6" x14ac:dyDescent="0.2">
      <c r="F123" s="13"/>
    </row>
    <row r="124" spans="1:6" ht="20.25" x14ac:dyDescent="0.3">
      <c r="A124" s="21">
        <v>2</v>
      </c>
      <c r="B124" s="21"/>
      <c r="C124" s="21"/>
      <c r="D124" s="21"/>
      <c r="E124" s="21" t="s">
        <v>247</v>
      </c>
      <c r="F124" s="130">
        <f>HLOOKUP($E$5,'5. Bilan 2023'!$F$4:$BD$227,118,0)</f>
        <v>16768646.529999999</v>
      </c>
    </row>
    <row r="125" spans="1:6" ht="15" x14ac:dyDescent="0.25">
      <c r="A125" s="7"/>
      <c r="B125" s="121">
        <v>20</v>
      </c>
      <c r="C125" s="121"/>
      <c r="D125" s="121"/>
      <c r="E125" s="121" t="s">
        <v>248</v>
      </c>
      <c r="F125" s="122">
        <f>HLOOKUP($E$5,'5. Bilan 2023'!$F$4:$BD$227,119,0)</f>
        <v>11516210.049999999</v>
      </c>
    </row>
    <row r="126" spans="1:6" ht="15" x14ac:dyDescent="0.25">
      <c r="C126" s="123">
        <v>200</v>
      </c>
      <c r="D126" s="123"/>
      <c r="E126" s="123" t="s">
        <v>249</v>
      </c>
      <c r="F126" s="124">
        <f>SUM(F127:F134)</f>
        <v>388186.60000000003</v>
      </c>
    </row>
    <row r="127" spans="1:6" x14ac:dyDescent="0.2">
      <c r="D127" s="8">
        <v>2000</v>
      </c>
      <c r="E127" s="8" t="s">
        <v>392</v>
      </c>
      <c r="F127" s="13">
        <f>HLOOKUP($E$5,'5. Bilan 2023'!$F$4:$BD$227,121,0)</f>
        <v>393072.8</v>
      </c>
    </row>
    <row r="128" spans="1:6" x14ac:dyDescent="0.2">
      <c r="D128" s="8">
        <v>2001</v>
      </c>
      <c r="E128" s="8" t="s">
        <v>393</v>
      </c>
      <c r="F128" s="13">
        <f>HLOOKUP($E$5,'5. Bilan 2023'!$F$4:$BD$227,122,0)</f>
        <v>-4879.72</v>
      </c>
    </row>
    <row r="129" spans="3:6" x14ac:dyDescent="0.2">
      <c r="D129" s="8">
        <v>2002</v>
      </c>
      <c r="E129" s="8" t="s">
        <v>394</v>
      </c>
      <c r="F129" s="13">
        <f>HLOOKUP($E$5,'5. Bilan 2023'!$F$4:$BD$227,123,0)</f>
        <v>-6.48</v>
      </c>
    </row>
    <row r="130" spans="3:6" x14ac:dyDescent="0.2">
      <c r="D130" s="8">
        <v>2003</v>
      </c>
      <c r="E130" s="8" t="s">
        <v>395</v>
      </c>
      <c r="F130" s="13">
        <f>HLOOKUP($E$5,'5. Bilan 2023'!$F$4:$BD$227,124,0)</f>
        <v>0</v>
      </c>
    </row>
    <row r="131" spans="3:6" x14ac:dyDescent="0.2">
      <c r="D131" s="8">
        <v>2004</v>
      </c>
      <c r="E131" s="8" t="s">
        <v>396</v>
      </c>
      <c r="F131" s="13">
        <f>HLOOKUP($E$5,'5. Bilan 2023'!$F$4:$BD$227,125,0)</f>
        <v>0</v>
      </c>
    </row>
    <row r="132" spans="3:6" x14ac:dyDescent="0.2">
      <c r="D132" s="8">
        <v>2005</v>
      </c>
      <c r="E132" s="8" t="s">
        <v>317</v>
      </c>
      <c r="F132" s="13">
        <f>HLOOKUP($E$5,'5. Bilan 2023'!$F$4:$BD$227,126,0)</f>
        <v>0</v>
      </c>
    </row>
    <row r="133" spans="3:6" x14ac:dyDescent="0.2">
      <c r="D133" s="8">
        <v>2006</v>
      </c>
      <c r="E133" s="8" t="s">
        <v>441</v>
      </c>
      <c r="F133" s="13">
        <f>HLOOKUP($E$5,'5. Bilan 2023'!$F$4:$BD$227,127,0)</f>
        <v>0</v>
      </c>
    </row>
    <row r="134" spans="3:6" x14ac:dyDescent="0.2">
      <c r="D134" s="8">
        <v>2009</v>
      </c>
      <c r="E134" s="8" t="s">
        <v>398</v>
      </c>
      <c r="F134" s="13">
        <f>HLOOKUP($E$5,'5. Bilan 2023'!$F$4:$BD$227,128,0)</f>
        <v>0</v>
      </c>
    </row>
    <row r="135" spans="3:6" x14ac:dyDescent="0.2">
      <c r="F135" s="13"/>
    </row>
    <row r="136" spans="3:6" ht="15" x14ac:dyDescent="0.25">
      <c r="C136" s="123">
        <v>201</v>
      </c>
      <c r="D136" s="123"/>
      <c r="E136" s="123" t="s">
        <v>250</v>
      </c>
      <c r="F136" s="124">
        <f>SUM(F137:F144)</f>
        <v>3247562.34</v>
      </c>
    </row>
    <row r="137" spans="3:6" x14ac:dyDescent="0.2">
      <c r="D137" s="8">
        <v>2010</v>
      </c>
      <c r="E137" s="8" t="s">
        <v>399</v>
      </c>
      <c r="F137" s="13">
        <f>HLOOKUP($E$5,'5. Bilan 2023'!$F$4:$BD$227,131,0)</f>
        <v>3063522.34</v>
      </c>
    </row>
    <row r="138" spans="3:6" x14ac:dyDescent="0.2">
      <c r="D138" s="8">
        <v>2011</v>
      </c>
      <c r="E138" s="8" t="s">
        <v>400</v>
      </c>
      <c r="F138" s="13">
        <f>HLOOKUP($E$5,'5. Bilan 2023'!$F$4:$BD$227,132,0)</f>
        <v>0</v>
      </c>
    </row>
    <row r="139" spans="3:6" x14ac:dyDescent="0.2">
      <c r="D139" s="8">
        <v>2012</v>
      </c>
      <c r="E139" s="8" t="s">
        <v>401</v>
      </c>
      <c r="F139" s="13">
        <f>HLOOKUP($E$5,'5. Bilan 2023'!$F$4:$BD$227,133,0)</f>
        <v>0</v>
      </c>
    </row>
    <row r="140" spans="3:6" x14ac:dyDescent="0.2">
      <c r="D140" s="8">
        <v>2013</v>
      </c>
      <c r="E140" s="8" t="s">
        <v>402</v>
      </c>
      <c r="F140" s="13">
        <f>HLOOKUP($E$5,'5. Bilan 2023'!$F$4:$BD$227,134,0)</f>
        <v>0</v>
      </c>
    </row>
    <row r="141" spans="3:6" x14ac:dyDescent="0.2">
      <c r="D141" s="8">
        <v>2014</v>
      </c>
      <c r="E141" s="8" t="s">
        <v>404</v>
      </c>
      <c r="F141" s="13">
        <f>HLOOKUP($E$5,'5. Bilan 2023'!$F$4:$BD$227,135,0)</f>
        <v>184040</v>
      </c>
    </row>
    <row r="142" spans="3:6" x14ac:dyDescent="0.2">
      <c r="D142" s="8">
        <v>2015</v>
      </c>
      <c r="E142" s="8" t="s">
        <v>403</v>
      </c>
      <c r="F142" s="13">
        <f>HLOOKUP($E$5,'5. Bilan 2023'!$F$4:$BD$227,136,0)</f>
        <v>0</v>
      </c>
    </row>
    <row r="143" spans="3:6" x14ac:dyDescent="0.2">
      <c r="D143" s="8">
        <v>2016</v>
      </c>
      <c r="E143" s="8" t="s">
        <v>265</v>
      </c>
      <c r="F143" s="13">
        <f>HLOOKUP($E$5,'5. Bilan 2023'!$F$4:$BD$227,137,0)</f>
        <v>0</v>
      </c>
    </row>
    <row r="144" spans="3:6" x14ac:dyDescent="0.2">
      <c r="D144" s="8">
        <v>2019</v>
      </c>
      <c r="E144" s="8" t="s">
        <v>405</v>
      </c>
      <c r="F144" s="13">
        <f>HLOOKUP($E$5,'5. Bilan 2023'!$F$4:$BD$227,138,0)</f>
        <v>0</v>
      </c>
    </row>
    <row r="145" spans="3:6" x14ac:dyDescent="0.2">
      <c r="F145" s="13"/>
    </row>
    <row r="146" spans="3:6" ht="15" x14ac:dyDescent="0.25">
      <c r="C146" s="123">
        <v>204</v>
      </c>
      <c r="D146" s="123"/>
      <c r="E146" s="123" t="s">
        <v>251</v>
      </c>
      <c r="F146" s="124">
        <f>SUM(F147:F154)</f>
        <v>292622.19999999995</v>
      </c>
    </row>
    <row r="147" spans="3:6" x14ac:dyDescent="0.2">
      <c r="D147" s="8">
        <v>2040</v>
      </c>
      <c r="E147" s="8" t="s">
        <v>60</v>
      </c>
      <c r="F147" s="13">
        <f>HLOOKUP($E$5,'5. Bilan 2023'!$F$4:$BD$227,141,0)</f>
        <v>74.900000000000006</v>
      </c>
    </row>
    <row r="148" spans="3:6" x14ac:dyDescent="0.2">
      <c r="D148" s="8">
        <v>2041</v>
      </c>
      <c r="E148" s="8" t="s">
        <v>273</v>
      </c>
      <c r="F148" s="13">
        <f>HLOOKUP($E$5,'5. Bilan 2023'!$F$4:$BD$227,142,0)</f>
        <v>221679.9</v>
      </c>
    </row>
    <row r="149" spans="3:6" x14ac:dyDescent="0.2">
      <c r="D149" s="8">
        <v>2042</v>
      </c>
      <c r="E149" s="8" t="s">
        <v>325</v>
      </c>
      <c r="F149" s="13">
        <f>HLOOKUP($E$5,'5. Bilan 2023'!$F$4:$BD$227,143,0)</f>
        <v>0</v>
      </c>
    </row>
    <row r="150" spans="3:6" x14ac:dyDescent="0.2">
      <c r="D150" s="8">
        <v>2043</v>
      </c>
      <c r="E150" s="8" t="s">
        <v>326</v>
      </c>
      <c r="F150" s="13">
        <f>HLOOKUP($E$5,'5. Bilan 2023'!$F$4:$BD$227,144,0)</f>
        <v>70867.399999999994</v>
      </c>
    </row>
    <row r="151" spans="3:6" x14ac:dyDescent="0.2">
      <c r="D151" s="8">
        <v>2044</v>
      </c>
      <c r="E151" s="8" t="s">
        <v>406</v>
      </c>
      <c r="F151" s="13">
        <f>HLOOKUP($E$5,'5. Bilan 2023'!$F$4:$BD$227,145,0)</f>
        <v>0</v>
      </c>
    </row>
    <row r="152" spans="3:6" x14ac:dyDescent="0.2">
      <c r="D152" s="8">
        <v>2045</v>
      </c>
      <c r="E152" s="8" t="s">
        <v>328</v>
      </c>
      <c r="F152" s="13">
        <f>HLOOKUP($E$5,'5. Bilan 2023'!$F$4:$BD$227,146,0)</f>
        <v>0</v>
      </c>
    </row>
    <row r="153" spans="3:6" x14ac:dyDescent="0.2">
      <c r="D153" s="8">
        <v>2046</v>
      </c>
      <c r="E153" s="8" t="s">
        <v>407</v>
      </c>
      <c r="F153" s="13">
        <f>HLOOKUP($E$5,'5. Bilan 2023'!$F$4:$BD$227,147,0)</f>
        <v>0</v>
      </c>
    </row>
    <row r="154" spans="3:6" x14ac:dyDescent="0.2">
      <c r="D154" s="8">
        <v>2049</v>
      </c>
      <c r="E154" s="8" t="s">
        <v>408</v>
      </c>
      <c r="F154" s="13">
        <f>HLOOKUP($E$5,'5. Bilan 2023'!$F$4:$BD$227,148,0)</f>
        <v>0</v>
      </c>
    </row>
    <row r="155" spans="3:6" x14ac:dyDescent="0.2">
      <c r="F155" s="13"/>
    </row>
    <row r="156" spans="3:6" ht="15" x14ac:dyDescent="0.25">
      <c r="C156" s="123">
        <v>205</v>
      </c>
      <c r="D156" s="123"/>
      <c r="E156" s="123" t="s">
        <v>252</v>
      </c>
      <c r="F156" s="124">
        <f>SUM(F157:F166)</f>
        <v>0</v>
      </c>
    </row>
    <row r="157" spans="3:6" x14ac:dyDescent="0.2">
      <c r="D157" s="8">
        <v>2050</v>
      </c>
      <c r="E157" s="8" t="s">
        <v>409</v>
      </c>
      <c r="F157" s="13">
        <f>HLOOKUP($E$5,'5. Bilan 2023'!$F$4:$BD$227,151,0)</f>
        <v>0</v>
      </c>
    </row>
    <row r="158" spans="3:6" x14ac:dyDescent="0.2">
      <c r="D158" s="8">
        <v>2051</v>
      </c>
      <c r="E158" s="8" t="s">
        <v>410</v>
      </c>
      <c r="F158" s="13">
        <f>HLOOKUP($E$5,'5. Bilan 2023'!$F$4:$BD$227,152,0)</f>
        <v>0</v>
      </c>
    </row>
    <row r="159" spans="3:6" x14ac:dyDescent="0.2">
      <c r="D159" s="8">
        <v>2052</v>
      </c>
      <c r="E159" s="8" t="s">
        <v>411</v>
      </c>
      <c r="F159" s="13">
        <f>HLOOKUP($E$5,'5. Bilan 2023'!$F$4:$BD$227,153,0)</f>
        <v>0</v>
      </c>
    </row>
    <row r="160" spans="3:6" x14ac:dyDescent="0.2">
      <c r="D160" s="8">
        <v>2053</v>
      </c>
      <c r="E160" s="8" t="s">
        <v>415</v>
      </c>
      <c r="F160" s="13">
        <f>HLOOKUP($E$5,'5. Bilan 2023'!$F$4:$BD$227,154,0)</f>
        <v>0</v>
      </c>
    </row>
    <row r="161" spans="3:6" x14ac:dyDescent="0.2">
      <c r="D161" s="8">
        <v>2054</v>
      </c>
      <c r="E161" s="8" t="s">
        <v>413</v>
      </c>
      <c r="F161" s="13">
        <f>HLOOKUP($E$5,'5. Bilan 2023'!$F$4:$BD$227,155,0)</f>
        <v>0</v>
      </c>
    </row>
    <row r="162" spans="3:6" x14ac:dyDescent="0.2">
      <c r="D162" s="8">
        <v>2055</v>
      </c>
      <c r="E162" s="8" t="s">
        <v>412</v>
      </c>
      <c r="F162" s="13">
        <f>HLOOKUP($E$5,'5. Bilan 2023'!$F$4:$BD$227,156,0)</f>
        <v>0</v>
      </c>
    </row>
    <row r="163" spans="3:6" x14ac:dyDescent="0.2">
      <c r="D163" s="8">
        <v>2056</v>
      </c>
      <c r="E163" s="8" t="s">
        <v>414</v>
      </c>
      <c r="F163" s="13">
        <f>HLOOKUP($E$5,'5. Bilan 2023'!$F$4:$BD$227,157,0)</f>
        <v>0</v>
      </c>
    </row>
    <row r="164" spans="3:6" x14ac:dyDescent="0.2">
      <c r="D164" s="8">
        <v>2057</v>
      </c>
      <c r="E164" s="8" t="s">
        <v>416</v>
      </c>
      <c r="F164" s="13">
        <f>HLOOKUP($E$5,'5. Bilan 2023'!$F$4:$BD$227,158,0)</f>
        <v>0</v>
      </c>
    </row>
    <row r="165" spans="3:6" x14ac:dyDescent="0.2">
      <c r="D165" s="8">
        <v>2058</v>
      </c>
      <c r="E165" s="8" t="s">
        <v>417</v>
      </c>
      <c r="F165" s="13">
        <f>HLOOKUP($E$5,'5. Bilan 2023'!$F$4:$BD$227,159,0)</f>
        <v>0</v>
      </c>
    </row>
    <row r="166" spans="3:6" x14ac:dyDescent="0.2">
      <c r="D166" s="8">
        <v>2059</v>
      </c>
      <c r="E166" s="8" t="s">
        <v>418</v>
      </c>
      <c r="F166" s="13">
        <f>HLOOKUP($E$5,'5. Bilan 2023'!$F$4:$BD$227,160,0)</f>
        <v>0</v>
      </c>
    </row>
    <row r="167" spans="3:6" x14ac:dyDescent="0.2">
      <c r="F167" s="13"/>
    </row>
    <row r="168" spans="3:6" ht="15" x14ac:dyDescent="0.25">
      <c r="C168" s="123">
        <v>206</v>
      </c>
      <c r="D168" s="123"/>
      <c r="E168" s="123" t="s">
        <v>253</v>
      </c>
      <c r="F168" s="124">
        <f>SUM(F169:F174)</f>
        <v>7510551.21</v>
      </c>
    </row>
    <row r="169" spans="3:6" x14ac:dyDescent="0.2">
      <c r="D169" s="8">
        <v>2060</v>
      </c>
      <c r="E169" s="8" t="s">
        <v>419</v>
      </c>
      <c r="F169" s="13">
        <f>HLOOKUP($E$5,'5. Bilan 2023'!$F$4:$BD$227,163,0)</f>
        <v>0</v>
      </c>
    </row>
    <row r="170" spans="3:6" x14ac:dyDescent="0.2">
      <c r="D170" s="8">
        <v>2062</v>
      </c>
      <c r="E170" s="8" t="s">
        <v>420</v>
      </c>
      <c r="F170" s="13">
        <f>HLOOKUP($E$5,'5. Bilan 2023'!$F$4:$BD$227,164,0)</f>
        <v>0</v>
      </c>
    </row>
    <row r="171" spans="3:6" x14ac:dyDescent="0.2">
      <c r="D171" s="8">
        <v>2063</v>
      </c>
      <c r="E171" s="8" t="s">
        <v>421</v>
      </c>
      <c r="F171" s="13">
        <f>HLOOKUP($E$5,'5. Bilan 2023'!$F$4:$BD$227,165,0)</f>
        <v>0</v>
      </c>
    </row>
    <row r="172" spans="3:6" x14ac:dyDescent="0.2">
      <c r="D172" s="8">
        <v>2064</v>
      </c>
      <c r="E172" s="8" t="s">
        <v>442</v>
      </c>
      <c r="F172" s="13">
        <f>HLOOKUP($E$5,'5. Bilan 2023'!$F$4:$BD$227,166,0)</f>
        <v>7510551.21</v>
      </c>
    </row>
    <row r="173" spans="3:6" x14ac:dyDescent="0.2">
      <c r="D173" s="8">
        <v>2067</v>
      </c>
      <c r="E173" s="8" t="s">
        <v>423</v>
      </c>
      <c r="F173" s="13">
        <f>HLOOKUP($E$5,'5. Bilan 2023'!$F$4:$BD$227,167,0)</f>
        <v>0</v>
      </c>
    </row>
    <row r="174" spans="3:6" x14ac:dyDescent="0.2">
      <c r="D174" s="8">
        <v>2069</v>
      </c>
      <c r="E174" s="8" t="s">
        <v>424</v>
      </c>
      <c r="F174" s="13">
        <f>HLOOKUP($E$5,'5. Bilan 2023'!$F$4:$BD$227,168,0)</f>
        <v>0</v>
      </c>
    </row>
    <row r="175" spans="3:6" x14ac:dyDescent="0.2">
      <c r="F175" s="13"/>
    </row>
    <row r="176" spans="3:6" ht="15" x14ac:dyDescent="0.25">
      <c r="C176" s="123">
        <v>208</v>
      </c>
      <c r="D176" s="123"/>
      <c r="E176" s="123" t="s">
        <v>254</v>
      </c>
      <c r="F176" s="124">
        <f>SUM(F177:F185)</f>
        <v>0</v>
      </c>
    </row>
    <row r="177" spans="3:6" x14ac:dyDescent="0.2">
      <c r="D177" s="8">
        <v>2081</v>
      </c>
      <c r="E177" s="8" t="s">
        <v>425</v>
      </c>
      <c r="F177" s="13">
        <f>HLOOKUP($E$5,'5. Bilan 2023'!$F$4:$BD$227,171,0)</f>
        <v>0</v>
      </c>
    </row>
    <row r="178" spans="3:6" x14ac:dyDescent="0.2">
      <c r="D178" s="8">
        <v>2082</v>
      </c>
      <c r="E178" s="8" t="s">
        <v>426</v>
      </c>
      <c r="F178" s="13">
        <f>HLOOKUP($E$5,'5. Bilan 2023'!$F$4:$BD$227,172,0)</f>
        <v>0</v>
      </c>
    </row>
    <row r="179" spans="3:6" x14ac:dyDescent="0.2">
      <c r="D179" s="8">
        <v>2083</v>
      </c>
      <c r="E179" s="8" t="s">
        <v>427</v>
      </c>
      <c r="F179" s="13">
        <f>HLOOKUP($E$5,'5. Bilan 2023'!$F$4:$BD$227,173,0)</f>
        <v>0</v>
      </c>
    </row>
    <row r="180" spans="3:6" x14ac:dyDescent="0.2">
      <c r="D180" s="8">
        <v>2084</v>
      </c>
      <c r="E180" s="8" t="s">
        <v>428</v>
      </c>
      <c r="F180" s="13">
        <f>HLOOKUP($E$5,'5. Bilan 2023'!$F$4:$BD$227,174,0)</f>
        <v>0</v>
      </c>
    </row>
    <row r="181" spans="3:6" x14ac:dyDescent="0.2">
      <c r="D181" s="8">
        <v>2085</v>
      </c>
      <c r="E181" s="8" t="s">
        <v>430</v>
      </c>
      <c r="F181" s="13">
        <f>HLOOKUP($E$5,'5. Bilan 2023'!$F$4:$BD$227,175,0)</f>
        <v>0</v>
      </c>
    </row>
    <row r="182" spans="3:6" x14ac:dyDescent="0.2">
      <c r="D182" s="8">
        <v>2086</v>
      </c>
      <c r="E182" s="8" t="s">
        <v>429</v>
      </c>
      <c r="F182" s="13">
        <f>HLOOKUP($E$5,'5. Bilan 2023'!$F$4:$BD$227,176,0)</f>
        <v>0</v>
      </c>
    </row>
    <row r="183" spans="3:6" x14ac:dyDescent="0.2">
      <c r="D183" s="8">
        <v>2087</v>
      </c>
      <c r="E183" s="8" t="s">
        <v>431</v>
      </c>
      <c r="F183" s="13">
        <f>HLOOKUP($E$5,'5. Bilan 2023'!$F$4:$BD$227,177,0)</f>
        <v>0</v>
      </c>
    </row>
    <row r="184" spans="3:6" x14ac:dyDescent="0.2">
      <c r="D184" s="8">
        <v>2088</v>
      </c>
      <c r="E184" s="8" t="s">
        <v>432</v>
      </c>
      <c r="F184" s="13">
        <f>HLOOKUP($E$5,'5. Bilan 2023'!$F$4:$BD$227,178,0)</f>
        <v>0</v>
      </c>
    </row>
    <row r="185" spans="3:6" x14ac:dyDescent="0.2">
      <c r="D185" s="8">
        <v>2089</v>
      </c>
      <c r="E185" s="8" t="s">
        <v>433</v>
      </c>
      <c r="F185" s="13">
        <f>HLOOKUP($E$5,'5. Bilan 2023'!$F$4:$BD$227,179,0)</f>
        <v>0</v>
      </c>
    </row>
    <row r="186" spans="3:6" x14ac:dyDescent="0.2">
      <c r="F186" s="13"/>
    </row>
    <row r="187" spans="3:6" ht="15" x14ac:dyDescent="0.25">
      <c r="C187" s="123">
        <v>209</v>
      </c>
      <c r="D187" s="123"/>
      <c r="E187" s="123" t="s">
        <v>255</v>
      </c>
      <c r="F187" s="124">
        <f>SUM(F188:F191)</f>
        <v>77287.7</v>
      </c>
    </row>
    <row r="188" spans="3:6" x14ac:dyDescent="0.2">
      <c r="D188" s="8">
        <v>2090</v>
      </c>
      <c r="E188" s="8" t="s">
        <v>255</v>
      </c>
      <c r="F188" s="13">
        <f>HLOOKUP($E$5,'5. Bilan 2023'!$F$4:$BD$227,182,0)</f>
        <v>0</v>
      </c>
    </row>
    <row r="189" spans="3:6" x14ac:dyDescent="0.2">
      <c r="D189" s="8">
        <v>2091</v>
      </c>
      <c r="E189" s="8" t="s">
        <v>434</v>
      </c>
      <c r="F189" s="13">
        <f>HLOOKUP($E$5,'5. Bilan 2023'!$F$4:$BD$227,183,0)</f>
        <v>77287.7</v>
      </c>
    </row>
    <row r="190" spans="3:6" x14ac:dyDescent="0.2">
      <c r="D190" s="8">
        <v>2092</v>
      </c>
      <c r="E190" s="8" t="s">
        <v>435</v>
      </c>
      <c r="F190" s="13">
        <f>HLOOKUP($E$5,'5. Bilan 2023'!$F$4:$BD$227,184,0)</f>
        <v>0</v>
      </c>
    </row>
    <row r="191" spans="3:6" x14ac:dyDescent="0.2">
      <c r="D191" s="8">
        <v>2093</v>
      </c>
      <c r="E191" s="8" t="s">
        <v>436</v>
      </c>
      <c r="F191" s="13">
        <f>HLOOKUP($E$5,'5. Bilan 2023'!$F$4:$BD$227,185,0)</f>
        <v>0</v>
      </c>
    </row>
    <row r="192" spans="3:6" x14ac:dyDescent="0.2">
      <c r="F192" s="13"/>
    </row>
    <row r="193" spans="2:6" ht="15" x14ac:dyDescent="0.25">
      <c r="B193" s="121">
        <v>29</v>
      </c>
      <c r="C193" s="121"/>
      <c r="D193" s="121"/>
      <c r="E193" s="121" t="s">
        <v>256</v>
      </c>
      <c r="F193" s="122">
        <f>HLOOKUP($E$5,'5. Bilan 2023'!$F$4:$BD$227,187,0)</f>
        <v>5252436.4800000004</v>
      </c>
    </row>
    <row r="194" spans="2:6" ht="15" x14ac:dyDescent="0.25">
      <c r="C194" s="123">
        <v>290</v>
      </c>
      <c r="D194" s="123"/>
      <c r="E194" s="123" t="s">
        <v>257</v>
      </c>
      <c r="F194" s="124">
        <f>SUM(F195)</f>
        <v>2762936.56</v>
      </c>
    </row>
    <row r="195" spans="2:6" x14ac:dyDescent="0.2">
      <c r="D195" s="8">
        <v>2900</v>
      </c>
      <c r="E195" s="8" t="s">
        <v>257</v>
      </c>
      <c r="F195" s="13">
        <f>HLOOKUP($E$5,'5. Bilan 2023'!$F$4:$BD$227,189,0)</f>
        <v>2762936.56</v>
      </c>
    </row>
    <row r="196" spans="2:6" x14ac:dyDescent="0.2">
      <c r="F196" s="13"/>
    </row>
    <row r="197" spans="2:6" ht="15" x14ac:dyDescent="0.25">
      <c r="C197" s="123">
        <v>291</v>
      </c>
      <c r="D197" s="123"/>
      <c r="E197" s="123" t="s">
        <v>258</v>
      </c>
      <c r="F197" s="124">
        <f>SUM(F198:F199)</f>
        <v>47793.1</v>
      </c>
    </row>
    <row r="198" spans="2:6" x14ac:dyDescent="0.2">
      <c r="D198" s="8">
        <v>2910</v>
      </c>
      <c r="E198" s="8" t="s">
        <v>258</v>
      </c>
      <c r="F198" s="13">
        <f>HLOOKUP($E$5,'5. Bilan 2023'!$F$4:$BD$227,192,0)</f>
        <v>47793.1</v>
      </c>
    </row>
    <row r="199" spans="2:6" x14ac:dyDescent="0.2">
      <c r="D199" s="8">
        <v>2911</v>
      </c>
      <c r="E199" s="8" t="s">
        <v>437</v>
      </c>
      <c r="F199" s="13">
        <f>HLOOKUP($E$5,'5. Bilan 2023'!$F$4:$BD$227,193,0)</f>
        <v>0</v>
      </c>
    </row>
    <row r="200" spans="2:6" x14ac:dyDescent="0.2">
      <c r="F200" s="13"/>
    </row>
    <row r="201" spans="2:6" ht="15" x14ac:dyDescent="0.25">
      <c r="C201" s="123">
        <v>292</v>
      </c>
      <c r="D201" s="123"/>
      <c r="E201" s="123" t="s">
        <v>259</v>
      </c>
      <c r="F201" s="124">
        <f>SUM(F202)</f>
        <v>0</v>
      </c>
    </row>
    <row r="202" spans="2:6" x14ac:dyDescent="0.2">
      <c r="D202" s="8">
        <v>2920</v>
      </c>
      <c r="E202" s="8" t="s">
        <v>259</v>
      </c>
      <c r="F202" s="13">
        <f>HLOOKUP($E$5,'5. Bilan 2023'!$F$4:$BD$227,196,0)</f>
        <v>0</v>
      </c>
    </row>
    <row r="203" spans="2:6" x14ac:dyDescent="0.2">
      <c r="F203" s="13"/>
    </row>
    <row r="204" spans="2:6" ht="15" x14ac:dyDescent="0.25">
      <c r="C204" s="123">
        <v>293</v>
      </c>
      <c r="D204" s="123"/>
      <c r="E204" s="123" t="s">
        <v>260</v>
      </c>
      <c r="F204" s="124">
        <f>SUM(F205)</f>
        <v>0</v>
      </c>
    </row>
    <row r="205" spans="2:6" x14ac:dyDescent="0.2">
      <c r="D205" s="8">
        <v>2930</v>
      </c>
      <c r="E205" s="8" t="s">
        <v>260</v>
      </c>
      <c r="F205" s="13">
        <f>HLOOKUP($E$5,'5. Bilan 2023'!$F$4:$BD$227,199,0)</f>
        <v>0</v>
      </c>
    </row>
    <row r="206" spans="2:6" x14ac:dyDescent="0.2">
      <c r="F206" s="13"/>
    </row>
    <row r="207" spans="2:6" ht="15" x14ac:dyDescent="0.25">
      <c r="C207" s="123">
        <v>294</v>
      </c>
      <c r="D207" s="123"/>
      <c r="E207" s="123" t="s">
        <v>261</v>
      </c>
      <c r="F207" s="124">
        <f>SUM(F208)</f>
        <v>320000</v>
      </c>
    </row>
    <row r="208" spans="2:6" x14ac:dyDescent="0.2">
      <c r="D208" s="8">
        <v>2940</v>
      </c>
      <c r="E208" s="8" t="s">
        <v>261</v>
      </c>
      <c r="F208" s="13">
        <f>HLOOKUP($E$5,'5. Bilan 2023'!$F$4:$BD$227,202,0)</f>
        <v>320000</v>
      </c>
    </row>
    <row r="209" spans="3:6" x14ac:dyDescent="0.2">
      <c r="F209" s="13"/>
    </row>
    <row r="210" spans="3:6" ht="15" x14ac:dyDescent="0.25">
      <c r="C210" s="123">
        <v>295</v>
      </c>
      <c r="D210" s="123"/>
      <c r="E210" s="123" t="s">
        <v>262</v>
      </c>
      <c r="F210" s="124">
        <f>SUM(F211)</f>
        <v>235596.33</v>
      </c>
    </row>
    <row r="211" spans="3:6" x14ac:dyDescent="0.2">
      <c r="D211" s="8">
        <v>2950</v>
      </c>
      <c r="E211" s="8" t="s">
        <v>262</v>
      </c>
      <c r="F211" s="13">
        <f>HLOOKUP($E$5,'5. Bilan 2023'!$F$4:$BD$227,205,0)</f>
        <v>235596.33</v>
      </c>
    </row>
    <row r="212" spans="3:6" x14ac:dyDescent="0.2">
      <c r="F212" s="13"/>
    </row>
    <row r="213" spans="3:6" ht="15" x14ac:dyDescent="0.25">
      <c r="C213" s="123">
        <v>296</v>
      </c>
      <c r="D213" s="123"/>
      <c r="E213" s="123" t="s">
        <v>263</v>
      </c>
      <c r="F213" s="124">
        <f>SUM(F214)</f>
        <v>0</v>
      </c>
    </row>
    <row r="214" spans="3:6" x14ac:dyDescent="0.2">
      <c r="D214" s="8">
        <v>2960</v>
      </c>
      <c r="E214" s="8" t="s">
        <v>263</v>
      </c>
      <c r="F214" s="13">
        <f>HLOOKUP($E$5,'5. Bilan 2023'!$F$4:$BD$227,208,0)</f>
        <v>0</v>
      </c>
    </row>
    <row r="215" spans="3:6" x14ac:dyDescent="0.2">
      <c r="F215" s="13"/>
    </row>
    <row r="216" spans="3:6" ht="15" x14ac:dyDescent="0.25">
      <c r="C216" s="123">
        <v>298</v>
      </c>
      <c r="D216" s="123"/>
      <c r="E216" s="123" t="s">
        <v>264</v>
      </c>
      <c r="F216" s="124">
        <f>SUM(F217)</f>
        <v>0</v>
      </c>
    </row>
    <row r="217" spans="3:6" x14ac:dyDescent="0.2">
      <c r="D217" s="8">
        <v>2980</v>
      </c>
      <c r="E217" s="8" t="s">
        <v>264</v>
      </c>
      <c r="F217" s="13">
        <f>HLOOKUP($E$5,'5. Bilan 2023'!$F$4:$BD$227,211,0)</f>
        <v>0</v>
      </c>
    </row>
    <row r="218" spans="3:6" x14ac:dyDescent="0.2">
      <c r="F218" s="13"/>
    </row>
    <row r="219" spans="3:6" ht="15" x14ac:dyDescent="0.25">
      <c r="C219" s="123">
        <v>299</v>
      </c>
      <c r="D219" s="123"/>
      <c r="E219" s="123" t="s">
        <v>438</v>
      </c>
      <c r="F219" s="124">
        <f>SUM(F220:F221)</f>
        <v>1886110.4900000002</v>
      </c>
    </row>
    <row r="220" spans="3:6" x14ac:dyDescent="0.2">
      <c r="D220" s="8">
        <v>2990</v>
      </c>
      <c r="E220" s="8" t="s">
        <v>438</v>
      </c>
      <c r="F220" s="13">
        <f>HLOOKUP($E$5,'5. Bilan 2023'!$F$4:$BD$227,214,0)</f>
        <v>23179.87</v>
      </c>
    </row>
    <row r="221" spans="3:6" x14ac:dyDescent="0.2">
      <c r="D221" s="8">
        <v>2999</v>
      </c>
      <c r="E221" s="8" t="s">
        <v>815</v>
      </c>
      <c r="F221" s="13">
        <f>HLOOKUP($E$5,'5. Bilan 2023'!$F$4:$BD$227,215,0)</f>
        <v>1862930.62</v>
      </c>
    </row>
    <row r="222" spans="3:6" x14ac:dyDescent="0.2">
      <c r="F222" s="13"/>
    </row>
    <row r="223" spans="3:6" ht="15" x14ac:dyDescent="0.25">
      <c r="C223" s="127"/>
      <c r="D223" s="127"/>
      <c r="E223" s="127" t="s">
        <v>574</v>
      </c>
      <c r="F223" s="131"/>
    </row>
    <row r="224" spans="3:6" x14ac:dyDescent="0.2">
      <c r="D224" s="8">
        <v>290</v>
      </c>
      <c r="E224" s="8" t="s">
        <v>573</v>
      </c>
      <c r="F224" s="13">
        <f>HLOOKUP($E$5,'5. Bilan 2023'!$F$4:$BD$227,218,0)</f>
        <v>274400.28000000003</v>
      </c>
    </row>
    <row r="225" spans="4:6" x14ac:dyDescent="0.2">
      <c r="D225" s="8">
        <v>2990</v>
      </c>
      <c r="E225" s="8" t="s">
        <v>577</v>
      </c>
      <c r="F225" s="13">
        <f>HLOOKUP($E$5,'5. Bilan 2023'!$F$4:$BD$227,219,0)</f>
        <v>23179.87</v>
      </c>
    </row>
    <row r="226" spans="4:6" x14ac:dyDescent="0.2">
      <c r="F226" s="13"/>
    </row>
    <row r="227" spans="4:6" ht="15" x14ac:dyDescent="0.25">
      <c r="E227" s="7" t="s">
        <v>576</v>
      </c>
      <c r="F227" s="13">
        <f>HLOOKUP($E$5,'5. Bilan 2023'!$F$4:$BD$227,221,0)</f>
        <v>297580.15000000002</v>
      </c>
    </row>
    <row r="228" spans="4:6" x14ac:dyDescent="0.2">
      <c r="F228" s="13"/>
    </row>
    <row r="229" spans="4:6" x14ac:dyDescent="0.2">
      <c r="E229" s="86" t="s">
        <v>575</v>
      </c>
      <c r="F229" s="13">
        <f>HLOOKUP($E$5,'5. Bilan 2023'!$F$4:$BD$227,223,0)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 2023'!$F$4:$BD$4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2" t="s">
        <v>812</v>
      </c>
      <c r="B2" s="7"/>
      <c r="C2" s="7"/>
      <c r="D2" s="7"/>
      <c r="E2" s="7"/>
    </row>
    <row r="3" spans="1:6" x14ac:dyDescent="0.2">
      <c r="A3" s="8" t="s">
        <v>195</v>
      </c>
      <c r="F3" s="9">
        <f>'5. Bilan 2023'!BE3</f>
        <v>74548</v>
      </c>
    </row>
    <row r="4" spans="1:6" x14ac:dyDescent="0.2">
      <c r="F4" s="10" t="s">
        <v>440</v>
      </c>
    </row>
    <row r="5" spans="1:6" ht="20.25" x14ac:dyDescent="0.3">
      <c r="A5" s="114">
        <v>1</v>
      </c>
      <c r="B5" s="114"/>
      <c r="C5" s="114"/>
      <c r="D5" s="114"/>
      <c r="E5" s="114" t="s">
        <v>235</v>
      </c>
      <c r="F5" s="115">
        <f>'5. Bilan 2023'!BE5</f>
        <v>942487868.5800004</v>
      </c>
    </row>
    <row r="6" spans="1:6" ht="15" x14ac:dyDescent="0.25">
      <c r="A6" s="16"/>
      <c r="B6" s="116">
        <v>10</v>
      </c>
      <c r="C6" s="116"/>
      <c r="D6" s="116"/>
      <c r="E6" s="116" t="s">
        <v>236</v>
      </c>
      <c r="F6" s="117">
        <f>'5. Bilan 2023'!BE6</f>
        <v>350070147.77000004</v>
      </c>
    </row>
    <row r="7" spans="1:6" ht="15" x14ac:dyDescent="0.25">
      <c r="A7" s="17"/>
      <c r="B7" s="17"/>
      <c r="C7" s="85">
        <v>100</v>
      </c>
      <c r="D7" s="85"/>
      <c r="E7" s="85" t="s">
        <v>237</v>
      </c>
      <c r="F7" s="107">
        <f>'5. Bilan 2023'!BE7</f>
        <v>89071753.609999985</v>
      </c>
    </row>
    <row r="8" spans="1:6" x14ac:dyDescent="0.2">
      <c r="D8" s="8">
        <v>1000</v>
      </c>
      <c r="E8" s="8" t="s">
        <v>307</v>
      </c>
      <c r="F8" s="18">
        <f>'5. Bilan 2023'!BE8</f>
        <v>153860.00999999998</v>
      </c>
    </row>
    <row r="9" spans="1:6" x14ac:dyDescent="0.2">
      <c r="D9" s="8">
        <v>1001</v>
      </c>
      <c r="E9" s="8" t="s">
        <v>308</v>
      </c>
      <c r="F9" s="18">
        <f>'5. Bilan 2023'!BE9</f>
        <v>24018344.189999994</v>
      </c>
    </row>
    <row r="10" spans="1:6" x14ac:dyDescent="0.2">
      <c r="D10" s="8">
        <v>1002</v>
      </c>
      <c r="E10" s="8" t="s">
        <v>316</v>
      </c>
      <c r="F10" s="18">
        <f>'5. Bilan 2023'!BE10</f>
        <v>61829955.309999995</v>
      </c>
    </row>
    <row r="11" spans="1:6" x14ac:dyDescent="0.2">
      <c r="D11" s="8">
        <v>1003</v>
      </c>
      <c r="E11" s="8" t="s">
        <v>309</v>
      </c>
      <c r="F11" s="18">
        <f>'5. Bilan 2023'!BE11</f>
        <v>3061980.6</v>
      </c>
    </row>
    <row r="12" spans="1:6" x14ac:dyDescent="0.2">
      <c r="D12" s="8">
        <v>1004</v>
      </c>
      <c r="E12" s="8" t="s">
        <v>310</v>
      </c>
      <c r="F12" s="18">
        <f>'5. Bilan 2023'!BE12</f>
        <v>7613.5</v>
      </c>
    </row>
    <row r="13" spans="1:6" x14ac:dyDescent="0.2">
      <c r="D13" s="8">
        <v>1009</v>
      </c>
      <c r="E13" s="8" t="s">
        <v>311</v>
      </c>
      <c r="F13" s="18">
        <f>'5. Bilan 2023'!BE13</f>
        <v>0</v>
      </c>
    </row>
    <row r="14" spans="1:6" ht="15" x14ac:dyDescent="0.25">
      <c r="F14" s="95"/>
    </row>
    <row r="15" spans="1:6" ht="15" x14ac:dyDescent="0.25">
      <c r="A15" s="17"/>
      <c r="B15" s="17"/>
      <c r="C15" s="85">
        <v>101</v>
      </c>
      <c r="D15" s="85"/>
      <c r="E15" s="85" t="s">
        <v>238</v>
      </c>
      <c r="F15" s="107">
        <f>'5. Bilan 2023'!BE15</f>
        <v>87394130.550000012</v>
      </c>
    </row>
    <row r="16" spans="1:6" x14ac:dyDescent="0.2">
      <c r="D16" s="8">
        <v>1010</v>
      </c>
      <c r="E16" s="8" t="s">
        <v>312</v>
      </c>
      <c r="F16" s="18">
        <f>'5. Bilan 2023'!BE16</f>
        <v>35519997.210000001</v>
      </c>
    </row>
    <row r="17" spans="3:6" x14ac:dyDescent="0.2">
      <c r="D17" s="8">
        <v>1011</v>
      </c>
      <c r="E17" s="8" t="s">
        <v>393</v>
      </c>
      <c r="F17" s="18">
        <f>'5. Bilan 2023'!BE17</f>
        <v>5347573.05</v>
      </c>
    </row>
    <row r="18" spans="3:6" x14ac:dyDescent="0.2">
      <c r="D18" s="8">
        <v>1012</v>
      </c>
      <c r="E18" s="8" t="s">
        <v>313</v>
      </c>
      <c r="F18" s="18">
        <f>'5. Bilan 2023'!BE18</f>
        <v>43392843.340000004</v>
      </c>
    </row>
    <row r="19" spans="3:6" x14ac:dyDescent="0.2">
      <c r="D19" s="8">
        <v>1013</v>
      </c>
      <c r="E19" s="8" t="s">
        <v>314</v>
      </c>
      <c r="F19" s="18">
        <f>'5. Bilan 2023'!BE19</f>
        <v>300024.95</v>
      </c>
    </row>
    <row r="20" spans="3:6" x14ac:dyDescent="0.2">
      <c r="D20" s="8">
        <v>1014</v>
      </c>
      <c r="E20" s="8" t="s">
        <v>315</v>
      </c>
      <c r="F20" s="18">
        <f>'5. Bilan 2023'!BE20</f>
        <v>761792.49</v>
      </c>
    </row>
    <row r="21" spans="3:6" x14ac:dyDescent="0.2">
      <c r="D21" s="8">
        <v>1015</v>
      </c>
      <c r="E21" s="8" t="s">
        <v>317</v>
      </c>
      <c r="F21" s="18">
        <f>'5. Bilan 2023'!BE21</f>
        <v>1453655.3399999999</v>
      </c>
    </row>
    <row r="22" spans="3:6" x14ac:dyDescent="0.2">
      <c r="D22" s="8">
        <v>1016</v>
      </c>
      <c r="E22" s="8" t="s">
        <v>318</v>
      </c>
      <c r="F22" s="18">
        <f>'5. Bilan 2023'!BE22</f>
        <v>23634.65</v>
      </c>
    </row>
    <row r="23" spans="3:6" x14ac:dyDescent="0.2">
      <c r="D23" s="8">
        <v>1019</v>
      </c>
      <c r="E23" s="8" t="s">
        <v>319</v>
      </c>
      <c r="F23" s="18">
        <f>'5. Bilan 2023'!BE23</f>
        <v>594609.52</v>
      </c>
    </row>
    <row r="24" spans="3:6" ht="15" x14ac:dyDescent="0.25">
      <c r="F24" s="95"/>
    </row>
    <row r="25" spans="3:6" ht="15" x14ac:dyDescent="0.25">
      <c r="C25" s="85">
        <v>102</v>
      </c>
      <c r="D25" s="85"/>
      <c r="E25" s="85" t="s">
        <v>239</v>
      </c>
      <c r="F25" s="107">
        <f>'5. Bilan 2023'!BE25</f>
        <v>1900000</v>
      </c>
    </row>
    <row r="26" spans="3:6" x14ac:dyDescent="0.2">
      <c r="D26" s="8">
        <v>1020</v>
      </c>
      <c r="E26" s="8" t="s">
        <v>320</v>
      </c>
      <c r="F26" s="18">
        <f>'5. Bilan 2023'!BE26</f>
        <v>0</v>
      </c>
    </row>
    <row r="27" spans="3:6" x14ac:dyDescent="0.2">
      <c r="D27" s="8">
        <v>1022</v>
      </c>
      <c r="E27" s="8" t="s">
        <v>321</v>
      </c>
      <c r="F27" s="18">
        <f>'5. Bilan 2023'!BE27</f>
        <v>0</v>
      </c>
    </row>
    <row r="28" spans="3:6" x14ac:dyDescent="0.2">
      <c r="D28" s="8">
        <v>1023</v>
      </c>
      <c r="E28" s="8" t="s">
        <v>322</v>
      </c>
      <c r="F28" s="18">
        <f>'5. Bilan 2023'!BE28</f>
        <v>1900000</v>
      </c>
    </row>
    <row r="29" spans="3:6" x14ac:dyDescent="0.2">
      <c r="D29" s="8">
        <v>1029</v>
      </c>
      <c r="E29" s="8" t="s">
        <v>323</v>
      </c>
      <c r="F29" s="18">
        <f>'5. Bilan 2023'!BE29</f>
        <v>0</v>
      </c>
    </row>
    <row r="30" spans="3:6" ht="15" x14ac:dyDescent="0.25">
      <c r="F30" s="95"/>
    </row>
    <row r="31" spans="3:6" ht="15" x14ac:dyDescent="0.25">
      <c r="C31" s="85">
        <v>104</v>
      </c>
      <c r="D31" s="85"/>
      <c r="E31" s="85" t="s">
        <v>240</v>
      </c>
      <c r="F31" s="107">
        <f>'5. Bilan 2023'!BE31</f>
        <v>31101913.299999993</v>
      </c>
    </row>
    <row r="32" spans="3:6" x14ac:dyDescent="0.2">
      <c r="D32" s="8">
        <v>1040</v>
      </c>
      <c r="E32" s="8" t="s">
        <v>60</v>
      </c>
      <c r="F32" s="18">
        <f>'5. Bilan 2023'!BE32</f>
        <v>77705.350000000006</v>
      </c>
    </row>
    <row r="33" spans="3:6" x14ac:dyDescent="0.2">
      <c r="D33" s="8">
        <v>1041</v>
      </c>
      <c r="E33" s="8" t="s">
        <v>324</v>
      </c>
      <c r="F33" s="18">
        <f>'5. Bilan 2023'!BE33</f>
        <v>10127510.130000001</v>
      </c>
    </row>
    <row r="34" spans="3:6" x14ac:dyDescent="0.2">
      <c r="D34" s="8">
        <v>1042</v>
      </c>
      <c r="E34" s="8" t="s">
        <v>325</v>
      </c>
      <c r="F34" s="18">
        <f>'5. Bilan 2023'!BE34</f>
        <v>4452131.75</v>
      </c>
    </row>
    <row r="35" spans="3:6" x14ac:dyDescent="0.2">
      <c r="D35" s="8">
        <v>1043</v>
      </c>
      <c r="E35" s="8" t="s">
        <v>326</v>
      </c>
      <c r="F35" s="18">
        <f>'5. Bilan 2023'!BE35</f>
        <v>10745496.910000004</v>
      </c>
    </row>
    <row r="36" spans="3:6" x14ac:dyDescent="0.2">
      <c r="D36" s="8">
        <v>1044</v>
      </c>
      <c r="E36" s="8" t="s">
        <v>327</v>
      </c>
      <c r="F36" s="18">
        <f>'5. Bilan 2023'!BE36</f>
        <v>218430.32</v>
      </c>
    </row>
    <row r="37" spans="3:6" x14ac:dyDescent="0.2">
      <c r="D37" s="8">
        <v>1045</v>
      </c>
      <c r="E37" s="8" t="s">
        <v>328</v>
      </c>
      <c r="F37" s="18">
        <f>'5. Bilan 2023'!BE37</f>
        <v>2978313.02</v>
      </c>
    </row>
    <row r="38" spans="3:6" x14ac:dyDescent="0.2">
      <c r="D38" s="8">
        <v>1046</v>
      </c>
      <c r="E38" s="8" t="s">
        <v>329</v>
      </c>
      <c r="F38" s="18">
        <f>'5. Bilan 2023'!BE38</f>
        <v>1794527</v>
      </c>
    </row>
    <row r="39" spans="3:6" x14ac:dyDescent="0.2">
      <c r="D39" s="8">
        <v>1049</v>
      </c>
      <c r="E39" s="8" t="s">
        <v>330</v>
      </c>
      <c r="F39" s="18">
        <f>'5. Bilan 2023'!BE39</f>
        <v>707798.82000000007</v>
      </c>
    </row>
    <row r="40" spans="3:6" ht="15" x14ac:dyDescent="0.25">
      <c r="F40" s="95"/>
    </row>
    <row r="41" spans="3:6" ht="15" x14ac:dyDescent="0.25">
      <c r="C41" s="85">
        <v>106</v>
      </c>
      <c r="D41" s="85"/>
      <c r="E41" s="85" t="s">
        <v>241</v>
      </c>
      <c r="F41" s="107">
        <f>'5. Bilan 2023'!BE41</f>
        <v>756227.17999999993</v>
      </c>
    </row>
    <row r="42" spans="3:6" x14ac:dyDescent="0.2">
      <c r="D42" s="8">
        <v>1060</v>
      </c>
      <c r="E42" s="8" t="s">
        <v>331</v>
      </c>
      <c r="F42" s="18">
        <f>'5. Bilan 2023'!BE42</f>
        <v>58244.799999999996</v>
      </c>
    </row>
    <row r="43" spans="3:6" x14ac:dyDescent="0.2">
      <c r="D43" s="8">
        <v>1061</v>
      </c>
      <c r="E43" s="8" t="s">
        <v>332</v>
      </c>
      <c r="F43" s="18">
        <f>'5. Bilan 2023'!BE43</f>
        <v>626164.03</v>
      </c>
    </row>
    <row r="44" spans="3:6" x14ac:dyDescent="0.2">
      <c r="D44" s="8">
        <v>1062</v>
      </c>
      <c r="E44" s="8" t="s">
        <v>333</v>
      </c>
      <c r="F44" s="18">
        <f>'5. Bilan 2023'!BE44</f>
        <v>0</v>
      </c>
    </row>
    <row r="45" spans="3:6" x14ac:dyDescent="0.2">
      <c r="D45" s="8">
        <v>1063</v>
      </c>
      <c r="E45" s="8" t="s">
        <v>334</v>
      </c>
      <c r="F45" s="18">
        <f>'5. Bilan 2023'!BE45</f>
        <v>71818.350000000006</v>
      </c>
    </row>
    <row r="46" spans="3:6" x14ac:dyDescent="0.2">
      <c r="D46" s="8">
        <v>1068</v>
      </c>
      <c r="E46" s="8" t="s">
        <v>335</v>
      </c>
      <c r="F46" s="18">
        <f>'5. Bilan 2023'!BE46</f>
        <v>0</v>
      </c>
    </row>
    <row r="47" spans="3:6" ht="15" x14ac:dyDescent="0.25">
      <c r="F47" s="95"/>
    </row>
    <row r="48" spans="3:6" ht="15" x14ac:dyDescent="0.25">
      <c r="C48" s="85">
        <v>107</v>
      </c>
      <c r="D48" s="85"/>
      <c r="E48" s="85" t="s">
        <v>340</v>
      </c>
      <c r="F48" s="107">
        <f>'5. Bilan 2023'!BE48</f>
        <v>29795270.860000003</v>
      </c>
    </row>
    <row r="49" spans="3:6" x14ac:dyDescent="0.2">
      <c r="D49" s="8">
        <v>1070</v>
      </c>
      <c r="E49" s="8" t="s">
        <v>336</v>
      </c>
      <c r="F49" s="18">
        <f>'5. Bilan 2023'!BE49</f>
        <v>5110229.4000000004</v>
      </c>
    </row>
    <row r="50" spans="3:6" x14ac:dyDescent="0.2">
      <c r="D50" s="8">
        <v>1071</v>
      </c>
      <c r="E50" s="8" t="s">
        <v>337</v>
      </c>
      <c r="F50" s="18">
        <f>'5. Bilan 2023'!BE50</f>
        <v>24685041.460000001</v>
      </c>
    </row>
    <row r="51" spans="3:6" x14ac:dyDescent="0.2">
      <c r="D51" s="8">
        <v>1072</v>
      </c>
      <c r="E51" s="8" t="s">
        <v>338</v>
      </c>
      <c r="F51" s="18">
        <f>'5. Bilan 2023'!BE51</f>
        <v>0</v>
      </c>
    </row>
    <row r="52" spans="3:6" x14ac:dyDescent="0.2">
      <c r="D52" s="8">
        <v>1079</v>
      </c>
      <c r="E52" s="8" t="s">
        <v>339</v>
      </c>
      <c r="F52" s="18">
        <f>'5. Bilan 2023'!BE52</f>
        <v>0</v>
      </c>
    </row>
    <row r="53" spans="3:6" ht="15" x14ac:dyDescent="0.25">
      <c r="F53" s="95"/>
    </row>
    <row r="54" spans="3:6" ht="15" x14ac:dyDescent="0.25">
      <c r="C54" s="85">
        <v>108</v>
      </c>
      <c r="D54" s="85"/>
      <c r="E54" s="85" t="s">
        <v>242</v>
      </c>
      <c r="F54" s="107">
        <f>'5. Bilan 2023'!BE54</f>
        <v>110050852.26999998</v>
      </c>
    </row>
    <row r="55" spans="3:6" x14ac:dyDescent="0.2">
      <c r="D55" s="8">
        <v>1080</v>
      </c>
      <c r="E55" s="8" t="s">
        <v>341</v>
      </c>
      <c r="F55" s="18">
        <f>'5. Bilan 2023'!BE55</f>
        <v>41087057.489999995</v>
      </c>
    </row>
    <row r="56" spans="3:6" x14ac:dyDescent="0.2">
      <c r="D56" s="8">
        <v>1084</v>
      </c>
      <c r="E56" s="8" t="s">
        <v>342</v>
      </c>
      <c r="F56" s="18">
        <f>'5. Bilan 2023'!BE56</f>
        <v>67964047.930000007</v>
      </c>
    </row>
    <row r="57" spans="3:6" x14ac:dyDescent="0.2">
      <c r="D57" s="8">
        <v>1086</v>
      </c>
      <c r="E57" s="8" t="s">
        <v>343</v>
      </c>
      <c r="F57" s="18">
        <f>'5. Bilan 2023'!BE57</f>
        <v>0</v>
      </c>
    </row>
    <row r="58" spans="3:6" x14ac:dyDescent="0.2">
      <c r="D58" s="8">
        <v>1087</v>
      </c>
      <c r="E58" s="8" t="s">
        <v>344</v>
      </c>
      <c r="F58" s="18">
        <f>'5. Bilan 2023'!BE58</f>
        <v>999746.85</v>
      </c>
    </row>
    <row r="59" spans="3:6" x14ac:dyDescent="0.2">
      <c r="D59" s="8">
        <v>1088</v>
      </c>
      <c r="E59" s="8" t="s">
        <v>345</v>
      </c>
      <c r="F59" s="18">
        <f>'5. Bilan 2023'!BE59</f>
        <v>0</v>
      </c>
    </row>
    <row r="60" spans="3:6" x14ac:dyDescent="0.2">
      <c r="D60" s="8">
        <v>1089</v>
      </c>
      <c r="E60" s="8" t="s">
        <v>346</v>
      </c>
      <c r="F60" s="18">
        <f>'5. Bilan 2023'!BE60</f>
        <v>0</v>
      </c>
    </row>
    <row r="61" spans="3:6" ht="15" x14ac:dyDescent="0.25">
      <c r="F61" s="95"/>
    </row>
    <row r="62" spans="3:6" ht="15" x14ac:dyDescent="0.25">
      <c r="C62" s="85">
        <v>109</v>
      </c>
      <c r="D62" s="85"/>
      <c r="E62" s="85" t="s">
        <v>347</v>
      </c>
      <c r="F62" s="107">
        <f>'5. Bilan 2023'!BE62</f>
        <v>0</v>
      </c>
    </row>
    <row r="63" spans="3:6" x14ac:dyDescent="0.2">
      <c r="D63" s="8">
        <v>1090</v>
      </c>
      <c r="E63" s="8" t="s">
        <v>347</v>
      </c>
      <c r="F63" s="18">
        <f>'5. Bilan 2023'!BE63</f>
        <v>0</v>
      </c>
    </row>
    <row r="64" spans="3:6" x14ac:dyDescent="0.2">
      <c r="D64" s="8">
        <v>1091</v>
      </c>
      <c r="E64" s="8" t="s">
        <v>348</v>
      </c>
      <c r="F64" s="18">
        <f>'5. Bilan 2023'!BE64</f>
        <v>0</v>
      </c>
    </row>
    <row r="65" spans="2:6" x14ac:dyDescent="0.2">
      <c r="D65" s="8">
        <v>1092</v>
      </c>
      <c r="E65" s="8" t="s">
        <v>349</v>
      </c>
      <c r="F65" s="18">
        <f>'5. Bilan 2023'!BE65</f>
        <v>0</v>
      </c>
    </row>
    <row r="66" spans="2:6" x14ac:dyDescent="0.2">
      <c r="D66" s="8">
        <v>1093</v>
      </c>
      <c r="E66" s="8" t="s">
        <v>350</v>
      </c>
      <c r="F66" s="18">
        <f>'5. Bilan 2023'!BE66</f>
        <v>0</v>
      </c>
    </row>
    <row r="67" spans="2:6" ht="15" x14ac:dyDescent="0.25">
      <c r="F67" s="95"/>
    </row>
    <row r="68" spans="2:6" ht="15" x14ac:dyDescent="0.25">
      <c r="B68" s="116">
        <v>14</v>
      </c>
      <c r="C68" s="116"/>
      <c r="D68" s="116"/>
      <c r="E68" s="116" t="s">
        <v>243</v>
      </c>
      <c r="F68" s="117">
        <f>'5. Bilan 2023'!BE68</f>
        <v>592417720.80999982</v>
      </c>
    </row>
    <row r="69" spans="2:6" ht="15" x14ac:dyDescent="0.25">
      <c r="C69" s="85">
        <v>140</v>
      </c>
      <c r="D69" s="85"/>
      <c r="E69" s="85" t="s">
        <v>245</v>
      </c>
      <c r="F69" s="129">
        <f>'5. Bilan 2023'!BE69</f>
        <v>566085769.25999987</v>
      </c>
    </row>
    <row r="70" spans="2:6" x14ac:dyDescent="0.2">
      <c r="D70" s="8">
        <v>1400</v>
      </c>
      <c r="E70" s="8" t="s">
        <v>351</v>
      </c>
      <c r="F70" s="18">
        <f>'5. Bilan 2023'!BE70</f>
        <v>26977975.079999991</v>
      </c>
    </row>
    <row r="71" spans="2:6" x14ac:dyDescent="0.2">
      <c r="D71" s="8">
        <v>1401</v>
      </c>
      <c r="E71" s="8" t="s">
        <v>352</v>
      </c>
      <c r="F71" s="18">
        <f>'5. Bilan 2023'!BE71</f>
        <v>114232393.22000001</v>
      </c>
    </row>
    <row r="72" spans="2:6" x14ac:dyDescent="0.2">
      <c r="D72" s="8">
        <v>1402</v>
      </c>
      <c r="E72" s="8" t="s">
        <v>353</v>
      </c>
      <c r="F72" s="18">
        <f>'5. Bilan 2023'!BE72</f>
        <v>5997888.6399999987</v>
      </c>
    </row>
    <row r="73" spans="2:6" x14ac:dyDescent="0.2">
      <c r="D73" s="8">
        <v>1403</v>
      </c>
      <c r="E73" s="8" t="s">
        <v>354</v>
      </c>
      <c r="F73" s="18">
        <f>'5. Bilan 2023'!BE73</f>
        <v>122906809.64999999</v>
      </c>
    </row>
    <row r="74" spans="2:6" x14ac:dyDescent="0.2">
      <c r="D74" s="8">
        <v>1404</v>
      </c>
      <c r="E74" s="8" t="s">
        <v>355</v>
      </c>
      <c r="F74" s="18">
        <f>'5. Bilan 2023'!BE74</f>
        <v>213485513.71000001</v>
      </c>
    </row>
    <row r="75" spans="2:6" x14ac:dyDescent="0.2">
      <c r="D75" s="8">
        <v>1405</v>
      </c>
      <c r="E75" s="8" t="s">
        <v>356</v>
      </c>
      <c r="F75" s="18">
        <f>'5. Bilan 2023'!BE75</f>
        <v>34435915.760000005</v>
      </c>
    </row>
    <row r="76" spans="2:6" x14ac:dyDescent="0.2">
      <c r="D76" s="8">
        <v>1406</v>
      </c>
      <c r="E76" s="8" t="s">
        <v>357</v>
      </c>
      <c r="F76" s="18">
        <f>'5. Bilan 2023'!BE76</f>
        <v>8911848.0200000014</v>
      </c>
    </row>
    <row r="77" spans="2:6" x14ac:dyDescent="0.2">
      <c r="D77" s="8">
        <v>1407</v>
      </c>
      <c r="E77" s="8" t="s">
        <v>358</v>
      </c>
      <c r="F77" s="18">
        <f>'5. Bilan 2023'!BE77</f>
        <v>39129779.18</v>
      </c>
    </row>
    <row r="78" spans="2:6" x14ac:dyDescent="0.2">
      <c r="D78" s="8">
        <v>1409</v>
      </c>
      <c r="E78" s="8" t="s">
        <v>359</v>
      </c>
      <c r="F78" s="18">
        <f>'5. Bilan 2023'!BE78</f>
        <v>7646</v>
      </c>
    </row>
    <row r="79" spans="2:6" ht="15" x14ac:dyDescent="0.25">
      <c r="F79" s="95"/>
    </row>
    <row r="80" spans="2:6" ht="15" x14ac:dyDescent="0.25">
      <c r="C80" s="85">
        <v>142</v>
      </c>
      <c r="D80" s="85"/>
      <c r="E80" s="85" t="s">
        <v>244</v>
      </c>
      <c r="F80" s="107">
        <f>'5. Bilan 2023'!BE80</f>
        <v>9272046.6700000018</v>
      </c>
    </row>
    <row r="81" spans="3:6" x14ac:dyDescent="0.2">
      <c r="D81" s="8">
        <v>1420</v>
      </c>
      <c r="E81" s="8" t="s">
        <v>360</v>
      </c>
      <c r="F81" s="18">
        <f>'5. Bilan 2023'!BE81</f>
        <v>898405.74000000011</v>
      </c>
    </row>
    <row r="82" spans="3:6" x14ac:dyDescent="0.2">
      <c r="D82" s="8">
        <v>1421</v>
      </c>
      <c r="E82" s="8" t="s">
        <v>361</v>
      </c>
      <c r="F82" s="18">
        <f>'5. Bilan 2023'!BE82</f>
        <v>0</v>
      </c>
    </row>
    <row r="83" spans="3:6" ht="15" x14ac:dyDescent="0.25">
      <c r="F83" s="95"/>
    </row>
    <row r="84" spans="3:6" ht="15" x14ac:dyDescent="0.25">
      <c r="C84" s="85">
        <v>144</v>
      </c>
      <c r="D84" s="85"/>
      <c r="E84" s="85" t="s">
        <v>246</v>
      </c>
      <c r="F84" s="107">
        <f>'5. Bilan 2023'!BE86</f>
        <v>2495691</v>
      </c>
    </row>
    <row r="85" spans="3:6" x14ac:dyDescent="0.2">
      <c r="D85" s="8">
        <v>1440</v>
      </c>
      <c r="E85" s="8" t="s">
        <v>362</v>
      </c>
      <c r="F85" s="18">
        <f>'5. Bilan 2023'!BE87</f>
        <v>0</v>
      </c>
    </row>
    <row r="86" spans="3:6" x14ac:dyDescent="0.2">
      <c r="D86" s="8">
        <v>1441</v>
      </c>
      <c r="E86" s="8" t="s">
        <v>364</v>
      </c>
      <c r="F86" s="18">
        <f>'5. Bilan 2023'!BE88</f>
        <v>0</v>
      </c>
    </row>
    <row r="87" spans="3:6" x14ac:dyDescent="0.2">
      <c r="D87" s="8">
        <v>1442</v>
      </c>
      <c r="E87" s="8" t="s">
        <v>363</v>
      </c>
      <c r="F87" s="18">
        <f>'5. Bilan 2023'!BE89</f>
        <v>1826801</v>
      </c>
    </row>
    <row r="88" spans="3:6" x14ac:dyDescent="0.2">
      <c r="D88" s="8">
        <v>1443</v>
      </c>
      <c r="E88" s="8" t="s">
        <v>365</v>
      </c>
      <c r="F88" s="18">
        <f>'5. Bilan 2023'!BE90</f>
        <v>0</v>
      </c>
    </row>
    <row r="89" spans="3:6" x14ac:dyDescent="0.2">
      <c r="D89" s="8">
        <v>1444</v>
      </c>
      <c r="E89" s="8" t="s">
        <v>366</v>
      </c>
      <c r="F89" s="18">
        <f>'5. Bilan 2023'!BE91</f>
        <v>0</v>
      </c>
    </row>
    <row r="90" spans="3:6" x14ac:dyDescent="0.2">
      <c r="D90" s="8">
        <v>1445</v>
      </c>
      <c r="E90" s="8" t="s">
        <v>367</v>
      </c>
      <c r="F90" s="18">
        <f>'5. Bilan 2023'!BE92</f>
        <v>392316.6</v>
      </c>
    </row>
    <row r="91" spans="3:6" x14ac:dyDescent="0.2">
      <c r="D91" s="8">
        <v>1446</v>
      </c>
      <c r="E91" s="8" t="s">
        <v>368</v>
      </c>
      <c r="F91" s="18">
        <f>'5. Bilan 2023'!BE93</f>
        <v>276573.40000000002</v>
      </c>
    </row>
    <row r="92" spans="3:6" x14ac:dyDescent="0.2">
      <c r="D92" s="8">
        <v>1447</v>
      </c>
      <c r="E92" s="8" t="s">
        <v>369</v>
      </c>
      <c r="F92" s="18">
        <f>'5. Bilan 2023'!BE94</f>
        <v>0</v>
      </c>
    </row>
    <row r="93" spans="3:6" x14ac:dyDescent="0.2">
      <c r="D93" s="8">
        <v>1448</v>
      </c>
      <c r="E93" s="8" t="s">
        <v>370</v>
      </c>
      <c r="F93" s="18">
        <f>'5. Bilan 2023'!BE95</f>
        <v>0</v>
      </c>
    </row>
    <row r="94" spans="3:6" ht="15" x14ac:dyDescent="0.25">
      <c r="F94" s="95"/>
    </row>
    <row r="95" spans="3:6" ht="15" x14ac:dyDescent="0.25">
      <c r="C95" s="85">
        <v>145</v>
      </c>
      <c r="D95" s="85"/>
      <c r="E95" s="85" t="s">
        <v>373</v>
      </c>
      <c r="F95" s="107">
        <f>'5. Bilan 2023'!BE97</f>
        <v>5100192.29</v>
      </c>
    </row>
    <row r="96" spans="3:6" x14ac:dyDescent="0.2">
      <c r="D96" s="8">
        <v>1450</v>
      </c>
      <c r="E96" s="8" t="s">
        <v>372</v>
      </c>
      <c r="F96" s="18">
        <f>'5. Bilan 2023'!BE98</f>
        <v>1</v>
      </c>
    </row>
    <row r="97" spans="3:6" x14ac:dyDescent="0.2">
      <c r="D97" s="8">
        <v>1451</v>
      </c>
      <c r="E97" s="8" t="s">
        <v>371</v>
      </c>
      <c r="F97" s="18">
        <f>'5. Bilan 2023'!BE99</f>
        <v>0</v>
      </c>
    </row>
    <row r="98" spans="3:6" x14ac:dyDescent="0.2">
      <c r="D98" s="8">
        <v>1452</v>
      </c>
      <c r="E98" s="8" t="s">
        <v>374</v>
      </c>
      <c r="F98" s="18">
        <f>'5. Bilan 2023'!BE100</f>
        <v>930422.9</v>
      </c>
    </row>
    <row r="99" spans="3:6" x14ac:dyDescent="0.2">
      <c r="D99" s="8">
        <v>1453</v>
      </c>
      <c r="E99" s="8" t="s">
        <v>375</v>
      </c>
      <c r="F99" s="18">
        <f>'5. Bilan 2023'!BE101</f>
        <v>0</v>
      </c>
    </row>
    <row r="100" spans="3:6" x14ac:dyDescent="0.2">
      <c r="D100" s="8">
        <v>1454</v>
      </c>
      <c r="E100" s="8" t="s">
        <v>376</v>
      </c>
      <c r="F100" s="18">
        <f>'5. Bilan 2023'!BE102</f>
        <v>584605</v>
      </c>
    </row>
    <row r="101" spans="3:6" x14ac:dyDescent="0.2">
      <c r="D101" s="8">
        <v>1455</v>
      </c>
      <c r="E101" s="8" t="s">
        <v>377</v>
      </c>
      <c r="F101" s="18">
        <f>'5. Bilan 2023'!BE103</f>
        <v>3442063.39</v>
      </c>
    </row>
    <row r="102" spans="3:6" x14ac:dyDescent="0.2">
      <c r="D102" s="8">
        <v>1456</v>
      </c>
      <c r="E102" s="8" t="s">
        <v>378</v>
      </c>
      <c r="F102" s="18">
        <f>'5. Bilan 2023'!BE104</f>
        <v>143100</v>
      </c>
    </row>
    <row r="103" spans="3:6" x14ac:dyDescent="0.2">
      <c r="D103" s="8">
        <v>1457</v>
      </c>
      <c r="E103" s="8" t="s">
        <v>379</v>
      </c>
      <c r="F103" s="18">
        <f>'5. Bilan 2023'!BE105</f>
        <v>0</v>
      </c>
    </row>
    <row r="104" spans="3:6" x14ac:dyDescent="0.2">
      <c r="D104" s="8">
        <v>1458</v>
      </c>
      <c r="E104" s="8" t="s">
        <v>380</v>
      </c>
      <c r="F104" s="18">
        <f>'5. Bilan 2023'!BE106</f>
        <v>0</v>
      </c>
    </row>
    <row r="105" spans="3:6" ht="15" x14ac:dyDescent="0.25">
      <c r="F105" s="95"/>
    </row>
    <row r="106" spans="3:6" ht="15" x14ac:dyDescent="0.25">
      <c r="C106" s="85">
        <v>146</v>
      </c>
      <c r="D106" s="85"/>
      <c r="E106" s="85" t="s">
        <v>391</v>
      </c>
      <c r="F106" s="107">
        <f>'5. Bilan 2023'!BE108</f>
        <v>9464021.589999998</v>
      </c>
    </row>
    <row r="107" spans="3:6" x14ac:dyDescent="0.2">
      <c r="D107" s="8">
        <v>1460</v>
      </c>
      <c r="E107" s="8" t="s">
        <v>388</v>
      </c>
      <c r="F107" s="18">
        <f>'5. Bilan 2023'!BE109</f>
        <v>0</v>
      </c>
    </row>
    <row r="108" spans="3:6" x14ac:dyDescent="0.2">
      <c r="D108" s="8">
        <v>1461</v>
      </c>
      <c r="E108" s="8" t="s">
        <v>389</v>
      </c>
      <c r="F108" s="18">
        <f>'5. Bilan 2023'!BE110</f>
        <v>76992.800000000003</v>
      </c>
    </row>
    <row r="109" spans="3:6" x14ac:dyDescent="0.2">
      <c r="D109" s="8">
        <v>1462</v>
      </c>
      <c r="E109" s="8" t="s">
        <v>381</v>
      </c>
      <c r="F109" s="18">
        <f>'5. Bilan 2023'!BE111</f>
        <v>9131318.2899999991</v>
      </c>
    </row>
    <row r="110" spans="3:6" x14ac:dyDescent="0.2">
      <c r="D110" s="8">
        <v>1463</v>
      </c>
      <c r="E110" s="8" t="s">
        <v>382</v>
      </c>
      <c r="F110" s="18">
        <f>'5. Bilan 2023'!BE112</f>
        <v>0</v>
      </c>
    </row>
    <row r="111" spans="3:6" x14ac:dyDescent="0.2">
      <c r="D111" s="8">
        <v>1464</v>
      </c>
      <c r="E111" s="8" t="s">
        <v>383</v>
      </c>
      <c r="F111" s="18">
        <f>'5. Bilan 2023'!BE113</f>
        <v>0</v>
      </c>
    </row>
    <row r="112" spans="3:6" x14ac:dyDescent="0.2">
      <c r="D112" s="8">
        <v>1465</v>
      </c>
      <c r="E112" s="8" t="s">
        <v>384</v>
      </c>
      <c r="F112" s="18">
        <f>'5. Bilan 2023'!BE114</f>
        <v>125766.1</v>
      </c>
    </row>
    <row r="113" spans="1:6" x14ac:dyDescent="0.2">
      <c r="D113" s="8">
        <v>1466</v>
      </c>
      <c r="E113" s="8" t="s">
        <v>390</v>
      </c>
      <c r="F113" s="18">
        <f>'5. Bilan 2023'!BE115</f>
        <v>56400</v>
      </c>
    </row>
    <row r="114" spans="1:6" x14ac:dyDescent="0.2">
      <c r="D114" s="8">
        <v>1467</v>
      </c>
      <c r="E114" s="8" t="s">
        <v>385</v>
      </c>
      <c r="F114" s="18">
        <f>'5. Bilan 2023'!BE116</f>
        <v>0</v>
      </c>
    </row>
    <row r="115" spans="1:6" x14ac:dyDescent="0.2">
      <c r="D115" s="8">
        <v>1468</v>
      </c>
      <c r="E115" s="8" t="s">
        <v>386</v>
      </c>
      <c r="F115" s="18">
        <f>'5. Bilan 2023'!BE117</f>
        <v>0</v>
      </c>
    </row>
    <row r="116" spans="1:6" x14ac:dyDescent="0.2">
      <c r="D116" s="8">
        <v>1469</v>
      </c>
      <c r="E116" s="8" t="s">
        <v>387</v>
      </c>
      <c r="F116" s="18">
        <f>'5. Bilan 2023'!BE118</f>
        <v>73544.399999999994</v>
      </c>
    </row>
    <row r="117" spans="1:6" ht="15" x14ac:dyDescent="0.25">
      <c r="F117" s="95"/>
    </row>
    <row r="118" spans="1:6" ht="15" x14ac:dyDescent="0.25">
      <c r="F118" s="95"/>
    </row>
    <row r="119" spans="1:6" ht="20.25" x14ac:dyDescent="0.3">
      <c r="A119" s="21">
        <v>2</v>
      </c>
      <c r="B119" s="21"/>
      <c r="C119" s="21"/>
      <c r="D119" s="21"/>
      <c r="E119" s="21" t="s">
        <v>247</v>
      </c>
      <c r="F119" s="120">
        <f>'5. Bilan 2023'!BE121</f>
        <v>942487868.5800004</v>
      </c>
    </row>
    <row r="120" spans="1:6" ht="15" x14ac:dyDescent="0.25">
      <c r="A120" s="7"/>
      <c r="B120" s="121">
        <v>20</v>
      </c>
      <c r="C120" s="121"/>
      <c r="D120" s="121"/>
      <c r="E120" s="121" t="s">
        <v>248</v>
      </c>
      <c r="F120" s="122">
        <f>'5. Bilan 2023'!BE122</f>
        <v>649273111.64999986</v>
      </c>
    </row>
    <row r="121" spans="1:6" ht="15" x14ac:dyDescent="0.25">
      <c r="C121" s="123">
        <v>200</v>
      </c>
      <c r="D121" s="123"/>
      <c r="E121" s="123" t="s">
        <v>249</v>
      </c>
      <c r="F121" s="124">
        <f>'5. Bilan 2023'!BE123</f>
        <v>37832584.270000003</v>
      </c>
    </row>
    <row r="122" spans="1:6" x14ac:dyDescent="0.2">
      <c r="D122" s="8">
        <v>2000</v>
      </c>
      <c r="E122" s="8" t="s">
        <v>392</v>
      </c>
      <c r="F122" s="18">
        <f>'5. Bilan 2023'!BE124</f>
        <v>33190031.840000004</v>
      </c>
    </row>
    <row r="123" spans="1:6" x14ac:dyDescent="0.2">
      <c r="D123" s="8">
        <v>2001</v>
      </c>
      <c r="E123" s="8" t="s">
        <v>393</v>
      </c>
      <c r="F123" s="18">
        <f>'5. Bilan 2023'!BE125</f>
        <v>1480738.0300000003</v>
      </c>
    </row>
    <row r="124" spans="1:6" x14ac:dyDescent="0.2">
      <c r="D124" s="8">
        <v>2002</v>
      </c>
      <c r="E124" s="8" t="s">
        <v>394</v>
      </c>
      <c r="F124" s="18">
        <f>'5. Bilan 2023'!BE126</f>
        <v>2348138.6799999997</v>
      </c>
    </row>
    <row r="125" spans="1:6" x14ac:dyDescent="0.2">
      <c r="D125" s="8">
        <v>2003</v>
      </c>
      <c r="E125" s="8" t="s">
        <v>395</v>
      </c>
      <c r="F125" s="18">
        <f>'5. Bilan 2023'!BE127</f>
        <v>86940</v>
      </c>
    </row>
    <row r="126" spans="1:6" x14ac:dyDescent="0.2">
      <c r="D126" s="8">
        <v>2004</v>
      </c>
      <c r="E126" s="8" t="s">
        <v>396</v>
      </c>
      <c r="F126" s="18">
        <f>'5. Bilan 2023'!BE128</f>
        <v>4107.1499999999996</v>
      </c>
    </row>
    <row r="127" spans="1:6" x14ac:dyDescent="0.2">
      <c r="D127" s="8">
        <v>2005</v>
      </c>
      <c r="E127" s="8" t="s">
        <v>317</v>
      </c>
      <c r="F127" s="18">
        <f>'5. Bilan 2023'!BE129</f>
        <v>613626.02</v>
      </c>
    </row>
    <row r="128" spans="1:6" x14ac:dyDescent="0.2">
      <c r="D128" s="8">
        <v>2006</v>
      </c>
      <c r="E128" s="8" t="s">
        <v>397</v>
      </c>
      <c r="F128" s="18">
        <f>'5. Bilan 2023'!BE130</f>
        <v>82202.55</v>
      </c>
    </row>
    <row r="129" spans="3:6" x14ac:dyDescent="0.2">
      <c r="D129" s="8">
        <v>2009</v>
      </c>
      <c r="E129" s="8" t="s">
        <v>398</v>
      </c>
      <c r="F129" s="18">
        <f>'5. Bilan 2023'!BE131</f>
        <v>26800</v>
      </c>
    </row>
    <row r="130" spans="3:6" ht="15" x14ac:dyDescent="0.25">
      <c r="F130" s="95"/>
    </row>
    <row r="131" spans="3:6" ht="15" x14ac:dyDescent="0.25">
      <c r="C131" s="123">
        <v>201</v>
      </c>
      <c r="D131" s="123"/>
      <c r="E131" s="123" t="s">
        <v>250</v>
      </c>
      <c r="F131" s="124">
        <f>'5. Bilan 2023'!BE133</f>
        <v>106185048.03000003</v>
      </c>
    </row>
    <row r="132" spans="3:6" x14ac:dyDescent="0.2">
      <c r="D132" s="8">
        <v>2010</v>
      </c>
      <c r="E132" s="8" t="s">
        <v>399</v>
      </c>
      <c r="F132" s="18">
        <f>'5. Bilan 2023'!BE134</f>
        <v>35497485.649999999</v>
      </c>
    </row>
    <row r="133" spans="3:6" x14ac:dyDescent="0.2">
      <c r="D133" s="8">
        <v>2011</v>
      </c>
      <c r="E133" s="8" t="s">
        <v>400</v>
      </c>
      <c r="F133" s="18">
        <f>'5. Bilan 2023'!BE135</f>
        <v>10347940.42</v>
      </c>
    </row>
    <row r="134" spans="3:6" x14ac:dyDescent="0.2">
      <c r="D134" s="8">
        <v>2012</v>
      </c>
      <c r="E134" s="8" t="s">
        <v>401</v>
      </c>
      <c r="F134" s="18">
        <f>'5. Bilan 2023'!BE136</f>
        <v>0</v>
      </c>
    </row>
    <row r="135" spans="3:6" x14ac:dyDescent="0.2">
      <c r="D135" s="8">
        <v>2013</v>
      </c>
      <c r="E135" s="8" t="s">
        <v>402</v>
      </c>
      <c r="F135" s="18">
        <f>'5. Bilan 2023'!BE137</f>
        <v>0</v>
      </c>
    </row>
    <row r="136" spans="3:6" x14ac:dyDescent="0.2">
      <c r="D136" s="8">
        <v>2014</v>
      </c>
      <c r="E136" s="8" t="s">
        <v>404</v>
      </c>
      <c r="F136" s="18">
        <f>'5. Bilan 2023'!BE138</f>
        <v>59629462.359999999</v>
      </c>
    </row>
    <row r="137" spans="3:6" x14ac:dyDescent="0.2">
      <c r="D137" s="8">
        <v>2015</v>
      </c>
      <c r="E137" s="8" t="s">
        <v>403</v>
      </c>
      <c r="F137" s="18">
        <f>'5. Bilan 2023'!BE139</f>
        <v>47340</v>
      </c>
    </row>
    <row r="138" spans="3:6" x14ac:dyDescent="0.2">
      <c r="D138" s="8">
        <v>2016</v>
      </c>
      <c r="E138" s="8" t="s">
        <v>265</v>
      </c>
      <c r="F138" s="18">
        <f>'5. Bilan 2023'!BE140</f>
        <v>0</v>
      </c>
    </row>
    <row r="139" spans="3:6" x14ac:dyDescent="0.2">
      <c r="D139" s="8">
        <v>2019</v>
      </c>
      <c r="E139" s="8" t="s">
        <v>405</v>
      </c>
      <c r="F139" s="18">
        <f>'5. Bilan 2023'!BE141</f>
        <v>662819.6</v>
      </c>
    </row>
    <row r="140" spans="3:6" ht="15" x14ac:dyDescent="0.25">
      <c r="F140" s="95"/>
    </row>
    <row r="141" spans="3:6" ht="15" x14ac:dyDescent="0.25">
      <c r="C141" s="123">
        <v>204</v>
      </c>
      <c r="D141" s="123"/>
      <c r="E141" s="123" t="s">
        <v>251</v>
      </c>
      <c r="F141" s="124">
        <f>'5. Bilan 2023'!BE143</f>
        <v>14757623.329999998</v>
      </c>
    </row>
    <row r="142" spans="3:6" x14ac:dyDescent="0.2">
      <c r="D142" s="8">
        <v>2040</v>
      </c>
      <c r="E142" s="8" t="s">
        <v>60</v>
      </c>
      <c r="F142" s="18">
        <f>'5. Bilan 2023'!BE144</f>
        <v>590893.5</v>
      </c>
    </row>
    <row r="143" spans="3:6" x14ac:dyDescent="0.2">
      <c r="D143" s="8">
        <v>2041</v>
      </c>
      <c r="E143" s="8" t="s">
        <v>273</v>
      </c>
      <c r="F143" s="18">
        <f>'5. Bilan 2023'!BE145</f>
        <v>8362096.1400000006</v>
      </c>
    </row>
    <row r="144" spans="3:6" x14ac:dyDescent="0.2">
      <c r="D144" s="8">
        <v>2042</v>
      </c>
      <c r="E144" s="8" t="s">
        <v>325</v>
      </c>
      <c r="F144" s="18">
        <f>'5. Bilan 2023'!BE146</f>
        <v>733416</v>
      </c>
    </row>
    <row r="145" spans="3:6" x14ac:dyDescent="0.2">
      <c r="D145" s="8">
        <v>2043</v>
      </c>
      <c r="E145" s="8" t="s">
        <v>326</v>
      </c>
      <c r="F145" s="18">
        <f>'5. Bilan 2023'!BE147</f>
        <v>4222705.24</v>
      </c>
    </row>
    <row r="146" spans="3:6" x14ac:dyDescent="0.2">
      <c r="D146" s="8">
        <v>2044</v>
      </c>
      <c r="E146" s="8" t="s">
        <v>406</v>
      </c>
      <c r="F146" s="18">
        <f>'5. Bilan 2023'!BE148</f>
        <v>630211.24</v>
      </c>
    </row>
    <row r="147" spans="3:6" x14ac:dyDescent="0.2">
      <c r="D147" s="8">
        <v>2045</v>
      </c>
      <c r="E147" s="8" t="s">
        <v>328</v>
      </c>
      <c r="F147" s="18">
        <f>'5. Bilan 2023'!BE149</f>
        <v>75481.259999999995</v>
      </c>
    </row>
    <row r="148" spans="3:6" x14ac:dyDescent="0.2">
      <c r="D148" s="8">
        <v>2046</v>
      </c>
      <c r="E148" s="8" t="s">
        <v>407</v>
      </c>
      <c r="F148" s="18">
        <f>'5. Bilan 2023'!BE150</f>
        <v>179500</v>
      </c>
    </row>
    <row r="149" spans="3:6" x14ac:dyDescent="0.2">
      <c r="D149" s="8">
        <v>2049</v>
      </c>
      <c r="E149" s="8" t="s">
        <v>408</v>
      </c>
      <c r="F149" s="18">
        <f>'5. Bilan 2023'!BE151</f>
        <v>-36680.050000000003</v>
      </c>
    </row>
    <row r="150" spans="3:6" ht="15" x14ac:dyDescent="0.25">
      <c r="F150" s="95"/>
    </row>
    <row r="151" spans="3:6" ht="15" x14ac:dyDescent="0.25">
      <c r="C151" s="123">
        <v>205</v>
      </c>
      <c r="D151" s="123"/>
      <c r="E151" s="123" t="s">
        <v>252</v>
      </c>
      <c r="F151" s="124">
        <f>'5. Bilan 2023'!BE153</f>
        <v>1174275.9000000001</v>
      </c>
    </row>
    <row r="152" spans="3:6" x14ac:dyDescent="0.2">
      <c r="D152" s="8">
        <v>2050</v>
      </c>
      <c r="E152" s="8" t="s">
        <v>409</v>
      </c>
      <c r="F152" s="18">
        <f>'5. Bilan 2023'!BE154</f>
        <v>1072216.6700000002</v>
      </c>
    </row>
    <row r="153" spans="3:6" x14ac:dyDescent="0.2">
      <c r="D153" s="8">
        <v>2051</v>
      </c>
      <c r="E153" s="8" t="s">
        <v>410</v>
      </c>
      <c r="F153" s="18">
        <f>'5. Bilan 2023'!BE155</f>
        <v>0</v>
      </c>
    </row>
    <row r="154" spans="3:6" x14ac:dyDescent="0.2">
      <c r="D154" s="8">
        <v>2052</v>
      </c>
      <c r="E154" s="8" t="s">
        <v>411</v>
      </c>
      <c r="F154" s="18">
        <f>'5. Bilan 2023'!BE156</f>
        <v>10000</v>
      </c>
    </row>
    <row r="155" spans="3:6" x14ac:dyDescent="0.2">
      <c r="D155" s="8">
        <v>2053</v>
      </c>
      <c r="E155" s="8" t="s">
        <v>415</v>
      </c>
      <c r="F155" s="18">
        <f>'5. Bilan 2023'!BE157</f>
        <v>0</v>
      </c>
    </row>
    <row r="156" spans="3:6" x14ac:dyDescent="0.2">
      <c r="D156" s="8">
        <v>2054</v>
      </c>
      <c r="E156" s="8" t="s">
        <v>413</v>
      </c>
      <c r="F156" s="18">
        <f>'5. Bilan 2023'!BE158</f>
        <v>495.6</v>
      </c>
    </row>
    <row r="157" spans="3:6" x14ac:dyDescent="0.2">
      <c r="D157" s="8">
        <v>2055</v>
      </c>
      <c r="E157" s="8" t="s">
        <v>412</v>
      </c>
      <c r="F157" s="18">
        <f>'5. Bilan 2023'!BE159</f>
        <v>48888.38</v>
      </c>
    </row>
    <row r="158" spans="3:6" x14ac:dyDescent="0.2">
      <c r="D158" s="8">
        <v>2056</v>
      </c>
      <c r="E158" s="8" t="s">
        <v>414</v>
      </c>
      <c r="F158" s="18">
        <f>'5. Bilan 2023'!BE160</f>
        <v>0</v>
      </c>
    </row>
    <row r="159" spans="3:6" x14ac:dyDescent="0.2">
      <c r="D159" s="8">
        <v>2057</v>
      </c>
      <c r="E159" s="8" t="s">
        <v>416</v>
      </c>
      <c r="F159" s="18">
        <f>'5. Bilan 2023'!BE161</f>
        <v>0</v>
      </c>
    </row>
    <row r="160" spans="3:6" x14ac:dyDescent="0.2">
      <c r="D160" s="8">
        <v>2058</v>
      </c>
      <c r="E160" s="8" t="s">
        <v>417</v>
      </c>
      <c r="F160" s="18">
        <f>'5. Bilan 2023'!BE162</f>
        <v>0</v>
      </c>
    </row>
    <row r="161" spans="3:6" x14ac:dyDescent="0.2">
      <c r="D161" s="8">
        <v>2059</v>
      </c>
      <c r="E161" s="8" t="s">
        <v>418</v>
      </c>
      <c r="F161" s="18">
        <f>'5. Bilan 2023'!BE163</f>
        <v>42675.25</v>
      </c>
    </row>
    <row r="162" spans="3:6" ht="15" x14ac:dyDescent="0.25">
      <c r="F162" s="95"/>
    </row>
    <row r="163" spans="3:6" ht="15" x14ac:dyDescent="0.25">
      <c r="C163" s="123">
        <v>206</v>
      </c>
      <c r="D163" s="123"/>
      <c r="E163" s="123" t="s">
        <v>253</v>
      </c>
      <c r="F163" s="124">
        <f>'5. Bilan 2023'!BE165</f>
        <v>471696034.06999993</v>
      </c>
    </row>
    <row r="164" spans="3:6" x14ac:dyDescent="0.2">
      <c r="D164" s="8">
        <v>2060</v>
      </c>
      <c r="E164" s="8" t="s">
        <v>419</v>
      </c>
      <c r="F164" s="18">
        <f>'5. Bilan 2023'!BE166</f>
        <v>29865219.149999999</v>
      </c>
    </row>
    <row r="165" spans="3:6" x14ac:dyDescent="0.2">
      <c r="D165" s="8">
        <v>2062</v>
      </c>
      <c r="E165" s="8" t="s">
        <v>420</v>
      </c>
      <c r="F165" s="18">
        <f>'5. Bilan 2023'!BE167</f>
        <v>0</v>
      </c>
    </row>
    <row r="166" spans="3:6" x14ac:dyDescent="0.2">
      <c r="D166" s="8">
        <v>2063</v>
      </c>
      <c r="E166" s="8" t="s">
        <v>421</v>
      </c>
      <c r="F166" s="18">
        <f>'5. Bilan 2023'!BE168</f>
        <v>255020508</v>
      </c>
    </row>
    <row r="167" spans="3:6" x14ac:dyDescent="0.2">
      <c r="D167" s="8">
        <v>2064</v>
      </c>
      <c r="E167" s="8" t="s">
        <v>422</v>
      </c>
      <c r="F167" s="18">
        <f>'5. Bilan 2023'!BE169</f>
        <v>190229908.41999999</v>
      </c>
    </row>
    <row r="168" spans="3:6" x14ac:dyDescent="0.2">
      <c r="D168" s="8">
        <v>2067</v>
      </c>
      <c r="E168" s="8" t="s">
        <v>423</v>
      </c>
      <c r="F168" s="18">
        <f>'5. Bilan 2023'!BE170</f>
        <v>142663.4</v>
      </c>
    </row>
    <row r="169" spans="3:6" x14ac:dyDescent="0.2">
      <c r="D169" s="8">
        <v>2069</v>
      </c>
      <c r="E169" s="8" t="s">
        <v>424</v>
      </c>
      <c r="F169" s="18">
        <f>'5. Bilan 2023'!BE171</f>
        <v>-3562264.9</v>
      </c>
    </row>
    <row r="170" spans="3:6" ht="15" x14ac:dyDescent="0.25">
      <c r="F170" s="95"/>
    </row>
    <row r="171" spans="3:6" ht="15" x14ac:dyDescent="0.25">
      <c r="C171" s="123">
        <v>208</v>
      </c>
      <c r="D171" s="123"/>
      <c r="E171" s="123" t="s">
        <v>254</v>
      </c>
      <c r="F171" s="124">
        <f>'5. Bilan 2023'!BE173</f>
        <v>8646813.0700000003</v>
      </c>
    </row>
    <row r="172" spans="3:6" x14ac:dyDescent="0.2">
      <c r="D172" s="8">
        <v>2081</v>
      </c>
      <c r="E172" s="8" t="s">
        <v>425</v>
      </c>
      <c r="F172" s="18">
        <f>'5. Bilan 2023'!BE174</f>
        <v>0</v>
      </c>
    </row>
    <row r="173" spans="3:6" x14ac:dyDescent="0.2">
      <c r="D173" s="8">
        <v>2082</v>
      </c>
      <c r="E173" s="8" t="s">
        <v>426</v>
      </c>
      <c r="F173" s="18">
        <f>'5. Bilan 2023'!BE175</f>
        <v>0</v>
      </c>
    </row>
    <row r="174" spans="3:6" x14ac:dyDescent="0.2">
      <c r="D174" s="8">
        <v>2083</v>
      </c>
      <c r="E174" s="8" t="s">
        <v>427</v>
      </c>
      <c r="F174" s="18">
        <f>'5. Bilan 2023'!BE176</f>
        <v>10691.47</v>
      </c>
    </row>
    <row r="175" spans="3:6" x14ac:dyDescent="0.2">
      <c r="D175" s="8">
        <v>2084</v>
      </c>
      <c r="E175" s="8" t="s">
        <v>428</v>
      </c>
      <c r="F175" s="18">
        <f>'5. Bilan 2023'!BE177</f>
        <v>0</v>
      </c>
    </row>
    <row r="176" spans="3:6" x14ac:dyDescent="0.2">
      <c r="D176" s="8">
        <v>2085</v>
      </c>
      <c r="E176" s="8" t="s">
        <v>430</v>
      </c>
      <c r="F176" s="18">
        <f>'5. Bilan 2023'!BE178</f>
        <v>282581.59999999998</v>
      </c>
    </row>
    <row r="177" spans="2:6" x14ac:dyDescent="0.2">
      <c r="D177" s="8">
        <v>2086</v>
      </c>
      <c r="E177" s="8" t="s">
        <v>429</v>
      </c>
      <c r="F177" s="18">
        <f>'5. Bilan 2023'!BE179</f>
        <v>0</v>
      </c>
    </row>
    <row r="178" spans="2:6" x14ac:dyDescent="0.2">
      <c r="D178" s="8">
        <v>2087</v>
      </c>
      <c r="E178" s="8" t="s">
        <v>431</v>
      </c>
      <c r="F178" s="18">
        <f>'5. Bilan 2023'!BE180</f>
        <v>96173.55</v>
      </c>
    </row>
    <row r="179" spans="2:6" x14ac:dyDescent="0.2">
      <c r="D179" s="8">
        <v>2088</v>
      </c>
      <c r="E179" s="8" t="s">
        <v>432</v>
      </c>
      <c r="F179" s="18">
        <f>'5. Bilan 2023'!BE181</f>
        <v>0</v>
      </c>
    </row>
    <row r="180" spans="2:6" x14ac:dyDescent="0.2">
      <c r="D180" s="8">
        <v>2089</v>
      </c>
      <c r="E180" s="8" t="s">
        <v>433</v>
      </c>
      <c r="F180" s="18">
        <f>'5. Bilan 2023'!BE182</f>
        <v>8257366.4500000002</v>
      </c>
    </row>
    <row r="181" spans="2:6" ht="15" x14ac:dyDescent="0.25">
      <c r="F181" s="95"/>
    </row>
    <row r="182" spans="2:6" ht="15" x14ac:dyDescent="0.25">
      <c r="C182" s="123">
        <v>209</v>
      </c>
      <c r="D182" s="123"/>
      <c r="E182" s="123" t="s">
        <v>255</v>
      </c>
      <c r="F182" s="124">
        <f>'5. Bilan 2023'!BE184</f>
        <v>8980732.9799999986</v>
      </c>
    </row>
    <row r="183" spans="2:6" x14ac:dyDescent="0.2">
      <c r="D183" s="8">
        <v>2090</v>
      </c>
      <c r="E183" s="8" t="s">
        <v>255</v>
      </c>
      <c r="F183" s="18">
        <f>'5. Bilan 2023'!BE185</f>
        <v>30627.82</v>
      </c>
    </row>
    <row r="184" spans="2:6" x14ac:dyDescent="0.2">
      <c r="D184" s="8">
        <v>2091</v>
      </c>
      <c r="E184" s="8" t="s">
        <v>434</v>
      </c>
      <c r="F184" s="18">
        <f>'5. Bilan 2023'!BE186</f>
        <v>8892284.9099999983</v>
      </c>
    </row>
    <row r="185" spans="2:6" x14ac:dyDescent="0.2">
      <c r="D185" s="8">
        <v>2092</v>
      </c>
      <c r="E185" s="8" t="s">
        <v>435</v>
      </c>
      <c r="F185" s="18">
        <f>'5. Bilan 2023'!BE187</f>
        <v>0</v>
      </c>
    </row>
    <row r="186" spans="2:6" x14ac:dyDescent="0.2">
      <c r="D186" s="8">
        <v>2093</v>
      </c>
      <c r="E186" s="8" t="s">
        <v>436</v>
      </c>
      <c r="F186" s="18">
        <f>'5. Bilan 2023'!BE188</f>
        <v>57820.25</v>
      </c>
    </row>
    <row r="187" spans="2:6" ht="15" x14ac:dyDescent="0.25">
      <c r="F187" s="95"/>
    </row>
    <row r="188" spans="2:6" ht="15" x14ac:dyDescent="0.25">
      <c r="B188" s="121">
        <v>29</v>
      </c>
      <c r="C188" s="121"/>
      <c r="D188" s="121"/>
      <c r="E188" s="121" t="s">
        <v>256</v>
      </c>
      <c r="F188" s="122">
        <f>'5. Bilan 2023'!BE190</f>
        <v>293214756.93000007</v>
      </c>
    </row>
    <row r="189" spans="2:6" ht="15" x14ac:dyDescent="0.25">
      <c r="C189" s="123">
        <v>290</v>
      </c>
      <c r="D189" s="123"/>
      <c r="E189" s="123" t="s">
        <v>257</v>
      </c>
      <c r="F189" s="124">
        <f>'5. Bilan 2023'!BE191</f>
        <v>114168798.20000005</v>
      </c>
    </row>
    <row r="190" spans="2:6" x14ac:dyDescent="0.2">
      <c r="D190" s="8">
        <v>2900</v>
      </c>
      <c r="E190" s="8" t="s">
        <v>257</v>
      </c>
      <c r="F190" s="18">
        <f>'5. Bilan 2023'!BE192</f>
        <v>114168798.20000005</v>
      </c>
    </row>
    <row r="191" spans="2:6" ht="15" x14ac:dyDescent="0.25">
      <c r="F191" s="95"/>
    </row>
    <row r="192" spans="2:6" ht="15" x14ac:dyDescent="0.25">
      <c r="C192" s="123">
        <v>291</v>
      </c>
      <c r="D192" s="123"/>
      <c r="E192" s="123" t="s">
        <v>258</v>
      </c>
      <c r="F192" s="124">
        <f>'5. Bilan 2023'!BE194</f>
        <v>1476841.08</v>
      </c>
    </row>
    <row r="193" spans="3:6" x14ac:dyDescent="0.2">
      <c r="D193" s="8">
        <v>2910</v>
      </c>
      <c r="E193" s="8" t="s">
        <v>258</v>
      </c>
      <c r="F193" s="18">
        <f>'5. Bilan 2023'!BE195</f>
        <v>1207116.27</v>
      </c>
    </row>
    <row r="194" spans="3:6" x14ac:dyDescent="0.2">
      <c r="D194" s="8">
        <v>2911</v>
      </c>
      <c r="E194" s="8" t="s">
        <v>437</v>
      </c>
      <c r="F194" s="18">
        <f>'5. Bilan 2023'!BE196</f>
        <v>269724.81</v>
      </c>
    </row>
    <row r="195" spans="3:6" ht="15" x14ac:dyDescent="0.25">
      <c r="F195" s="95"/>
    </row>
    <row r="196" spans="3:6" ht="15" x14ac:dyDescent="0.25">
      <c r="C196" s="123">
        <v>292</v>
      </c>
      <c r="D196" s="123"/>
      <c r="E196" s="123" t="s">
        <v>259</v>
      </c>
      <c r="F196" s="124">
        <f>'5. Bilan 2023'!BE198</f>
        <v>258028.81999999998</v>
      </c>
    </row>
    <row r="197" spans="3:6" x14ac:dyDescent="0.2">
      <c r="D197" s="8">
        <v>2920</v>
      </c>
      <c r="E197" s="8" t="s">
        <v>259</v>
      </c>
      <c r="F197" s="18">
        <f>'5. Bilan 2023'!BE199</f>
        <v>258028.81999999998</v>
      </c>
    </row>
    <row r="198" spans="3:6" ht="15" x14ac:dyDescent="0.25">
      <c r="F198" s="95"/>
    </row>
    <row r="199" spans="3:6" ht="15" x14ac:dyDescent="0.25">
      <c r="C199" s="123">
        <v>293</v>
      </c>
      <c r="D199" s="123"/>
      <c r="E199" s="123" t="s">
        <v>260</v>
      </c>
      <c r="F199" s="124">
        <f>'5. Bilan 2023'!BE201</f>
        <v>22676134.870000001</v>
      </c>
    </row>
    <row r="200" spans="3:6" x14ac:dyDescent="0.2">
      <c r="D200" s="8">
        <v>2930</v>
      </c>
      <c r="E200" s="8" t="s">
        <v>260</v>
      </c>
      <c r="F200" s="18">
        <f>'5. Bilan 2023'!BE202</f>
        <v>22676134.870000001</v>
      </c>
    </row>
    <row r="201" spans="3:6" ht="15" x14ac:dyDescent="0.25">
      <c r="F201" s="95"/>
    </row>
    <row r="202" spans="3:6" ht="15" x14ac:dyDescent="0.25">
      <c r="C202" s="123">
        <v>294</v>
      </c>
      <c r="D202" s="123"/>
      <c r="E202" s="123" t="s">
        <v>261</v>
      </c>
      <c r="F202" s="124">
        <f>'5. Bilan 2023'!BE204</f>
        <v>38445353.830000006</v>
      </c>
    </row>
    <row r="203" spans="3:6" x14ac:dyDescent="0.2">
      <c r="D203" s="8">
        <v>2940</v>
      </c>
      <c r="E203" s="8" t="s">
        <v>261</v>
      </c>
      <c r="F203" s="18">
        <f>'5. Bilan 2023'!BE205</f>
        <v>38445353.830000006</v>
      </c>
    </row>
    <row r="204" spans="3:6" ht="15" x14ac:dyDescent="0.25">
      <c r="F204" s="95"/>
    </row>
    <row r="205" spans="3:6" ht="15" x14ac:dyDescent="0.25">
      <c r="C205" s="123">
        <v>295</v>
      </c>
      <c r="D205" s="123"/>
      <c r="E205" s="123" t="s">
        <v>262</v>
      </c>
      <c r="F205" s="124">
        <f>'5. Bilan 2023'!BE207</f>
        <v>6578172.9199999999</v>
      </c>
    </row>
    <row r="206" spans="3:6" x14ac:dyDescent="0.2">
      <c r="D206" s="8">
        <v>2950</v>
      </c>
      <c r="E206" s="8" t="s">
        <v>262</v>
      </c>
      <c r="F206" s="18">
        <f>'5. Bilan 2023'!BE208</f>
        <v>6578172.9199999999</v>
      </c>
    </row>
    <row r="207" spans="3:6" ht="15" x14ac:dyDescent="0.25">
      <c r="F207" s="95"/>
    </row>
    <row r="208" spans="3:6" ht="15" x14ac:dyDescent="0.25">
      <c r="C208" s="123">
        <v>296</v>
      </c>
      <c r="D208" s="123"/>
      <c r="E208" s="123" t="s">
        <v>263</v>
      </c>
      <c r="F208" s="124">
        <f>'5. Bilan 2023'!BE210</f>
        <v>1708720.47</v>
      </c>
    </row>
    <row r="209" spans="3:6" x14ac:dyDescent="0.2">
      <c r="D209" s="8">
        <v>2960</v>
      </c>
      <c r="E209" s="8" t="s">
        <v>263</v>
      </c>
      <c r="F209" s="18">
        <f>'5. Bilan 2023'!BE211</f>
        <v>1708720.47</v>
      </c>
    </row>
    <row r="210" spans="3:6" ht="15" x14ac:dyDescent="0.25">
      <c r="F210" s="95"/>
    </row>
    <row r="211" spans="3:6" ht="15" x14ac:dyDescent="0.25">
      <c r="C211" s="123">
        <v>298</v>
      </c>
      <c r="D211" s="123"/>
      <c r="E211" s="123" t="s">
        <v>264</v>
      </c>
      <c r="F211" s="124">
        <f>'5. Bilan 2023'!BE213</f>
        <v>85523.05</v>
      </c>
    </row>
    <row r="212" spans="3:6" x14ac:dyDescent="0.2">
      <c r="D212" s="8">
        <v>2980</v>
      </c>
      <c r="E212" s="8" t="s">
        <v>264</v>
      </c>
      <c r="F212" s="18">
        <f>'5. Bilan 2023'!BE214</f>
        <v>85523.05</v>
      </c>
    </row>
    <row r="213" spans="3:6" ht="15" x14ac:dyDescent="0.25">
      <c r="F213" s="95"/>
    </row>
    <row r="214" spans="3:6" ht="15" x14ac:dyDescent="0.25">
      <c r="C214" s="123">
        <v>299</v>
      </c>
      <c r="D214" s="123"/>
      <c r="E214" s="123" t="s">
        <v>438</v>
      </c>
      <c r="F214" s="124">
        <f>'5. Bilan 2023'!BE216</f>
        <v>107817183.69000003</v>
      </c>
    </row>
    <row r="215" spans="3:6" ht="15" x14ac:dyDescent="0.25">
      <c r="D215" s="8">
        <v>2990</v>
      </c>
      <c r="E215" s="8" t="s">
        <v>438</v>
      </c>
      <c r="F215" s="95">
        <f>'5. Bilan 2023'!BE217</f>
        <v>2898615.3299999991</v>
      </c>
    </row>
    <row r="216" spans="3:6" ht="15" x14ac:dyDescent="0.25">
      <c r="D216" s="8">
        <v>2999</v>
      </c>
      <c r="E216" s="8" t="s">
        <v>439</v>
      </c>
      <c r="F216" s="95">
        <f>'5. Bilan 2023'!BE218</f>
        <v>104918568.35999998</v>
      </c>
    </row>
    <row r="217" spans="3:6" ht="15" x14ac:dyDescent="0.25">
      <c r="F217" s="95"/>
    </row>
    <row r="218" spans="3:6" ht="15" x14ac:dyDescent="0.25">
      <c r="F218" s="95"/>
    </row>
    <row r="219" spans="3:6" ht="15" x14ac:dyDescent="0.25">
      <c r="F219" s="95"/>
    </row>
    <row r="220" spans="3:6" x14ac:dyDescent="0.2">
      <c r="E220" s="86" t="s">
        <v>67</v>
      </c>
      <c r="F220" s="132">
        <f>'5. Bilan 2023'!BE226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topLeftCell="A22" workbookViewId="0">
      <selection activeCell="A3" sqref="A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257</v>
      </c>
      <c r="E2" s="18">
        <f>'5.2 Tableau bilan'!F189</f>
        <v>114168798.20000005</v>
      </c>
    </row>
    <row r="3" spans="2:5" ht="15" x14ac:dyDescent="0.25">
      <c r="B3" s="16">
        <v>291</v>
      </c>
      <c r="C3" s="16"/>
      <c r="D3" s="17" t="s">
        <v>871</v>
      </c>
      <c r="E3" s="18">
        <f>'5.2 Tableau bilan'!F192</f>
        <v>1476841.08</v>
      </c>
    </row>
    <row r="4" spans="2:5" ht="15" x14ac:dyDescent="0.25">
      <c r="B4" s="16">
        <v>292</v>
      </c>
      <c r="C4" s="16"/>
      <c r="D4" s="17" t="s">
        <v>259</v>
      </c>
      <c r="E4" s="18">
        <f>'5.2 Tableau bilan'!F196</f>
        <v>258028.81999999998</v>
      </c>
    </row>
    <row r="5" spans="2:5" ht="15" x14ac:dyDescent="0.25">
      <c r="B5" s="16">
        <v>293</v>
      </c>
      <c r="C5" s="16"/>
      <c r="D5" s="17" t="s">
        <v>260</v>
      </c>
      <c r="E5" s="18">
        <f>'5.2 Tableau bilan'!F199</f>
        <v>22676134.870000001</v>
      </c>
    </row>
    <row r="6" spans="2:5" ht="15" x14ac:dyDescent="0.25">
      <c r="B6" s="16">
        <v>294</v>
      </c>
      <c r="C6" s="16"/>
      <c r="D6" s="17" t="s">
        <v>261</v>
      </c>
      <c r="E6" s="18">
        <f>'5.2 Tableau bilan'!F202</f>
        <v>38445353.830000006</v>
      </c>
    </row>
    <row r="7" spans="2:5" ht="15" x14ac:dyDescent="0.25">
      <c r="B7" s="16">
        <v>295</v>
      </c>
      <c r="C7" s="16"/>
      <c r="D7" s="17" t="s">
        <v>262</v>
      </c>
      <c r="E7" s="18">
        <f>'5.2 Tableau bilan'!F205</f>
        <v>6578172.9199999999</v>
      </c>
    </row>
    <row r="8" spans="2:5" ht="15" x14ac:dyDescent="0.25">
      <c r="B8" s="16">
        <v>296</v>
      </c>
      <c r="C8" s="16"/>
      <c r="D8" s="17" t="s">
        <v>263</v>
      </c>
      <c r="E8" s="18">
        <f>'5.2 Tableau bilan'!F208</f>
        <v>1708720.47</v>
      </c>
    </row>
    <row r="9" spans="2:5" ht="15" x14ac:dyDescent="0.25">
      <c r="B9" s="16">
        <v>298</v>
      </c>
      <c r="C9" s="16"/>
      <c r="D9" s="17" t="s">
        <v>264</v>
      </c>
      <c r="E9" s="18">
        <f>'5.2 Tableau bilan'!F211</f>
        <v>85523.05</v>
      </c>
    </row>
    <row r="10" spans="2:5" ht="15" x14ac:dyDescent="0.25">
      <c r="B10" s="16">
        <v>299</v>
      </c>
      <c r="C10" s="16"/>
      <c r="D10" s="17" t="s">
        <v>438</v>
      </c>
      <c r="E10" s="18">
        <f>'5.2 Tableau bilan'!F214</f>
        <v>107817183.69000003</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E40"/>
  <sheetViews>
    <sheetView workbookViewId="0">
      <pane xSplit="2" ySplit="7" topLeftCell="AQ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54" width="16.28515625" style="8" customWidth="1"/>
    <col min="55" max="57" width="17.85546875" style="8" customWidth="1"/>
    <col min="58" max="16384" width="11.42578125" style="8"/>
  </cols>
  <sheetData>
    <row r="2" spans="1:57" ht="20.25" x14ac:dyDescent="0.3">
      <c r="A2" s="192" t="s">
        <v>865</v>
      </c>
      <c r="B2" s="7"/>
    </row>
    <row r="3" spans="1:57" ht="15" customHeight="1" x14ac:dyDescent="0.25">
      <c r="A3" s="133" t="s">
        <v>444</v>
      </c>
      <c r="B3" s="7"/>
    </row>
    <row r="4" spans="1:57" ht="15" customHeight="1" x14ac:dyDescent="0.25">
      <c r="A4" s="7"/>
      <c r="B4" s="7"/>
    </row>
    <row r="5" spans="1:57" ht="15" customHeight="1" x14ac:dyDescent="0.4">
      <c r="A5" s="6"/>
      <c r="B5" s="7"/>
    </row>
    <row r="6" spans="1:57" ht="15" x14ac:dyDescent="0.25">
      <c r="A6" s="134"/>
      <c r="C6" s="9">
        <f>'Base de données pop.'!C2</f>
        <v>961</v>
      </c>
      <c r="D6" s="9">
        <f>'Base de données pop.'!C3</f>
        <v>261</v>
      </c>
      <c r="E6" s="9">
        <f>'Base de données pop.'!C4</f>
        <v>494</v>
      </c>
      <c r="F6" s="9">
        <f>'Base de données pop.'!C5</f>
        <v>445</v>
      </c>
      <c r="G6" s="9">
        <f>'Base de données pop.'!C6</f>
        <v>3667</v>
      </c>
      <c r="H6" s="9">
        <f>'Base de données pop.'!C7</f>
        <v>3396</v>
      </c>
      <c r="I6" s="9">
        <f>'Base de données pop.'!C8</f>
        <v>2724</v>
      </c>
      <c r="J6" s="9">
        <f>'Base de données pop.'!C9</f>
        <v>12739</v>
      </c>
      <c r="K6" s="9">
        <f>'Base de données pop.'!C10</f>
        <v>1372</v>
      </c>
      <c r="L6" s="9">
        <f>'Base de données pop.'!C11</f>
        <v>117</v>
      </c>
      <c r="M6" s="9">
        <f>'Base de données pop.'!C12</f>
        <v>7362</v>
      </c>
      <c r="N6" s="9">
        <f>'Base de données pop.'!C13</f>
        <v>535</v>
      </c>
      <c r="O6" s="9">
        <f>'Base de données pop.'!C14</f>
        <v>112</v>
      </c>
      <c r="P6" s="9">
        <f>'Base de données pop.'!C15</f>
        <v>420</v>
      </c>
      <c r="Q6" s="9">
        <f>'Base de données pop.'!C16</f>
        <v>349</v>
      </c>
      <c r="R6" s="9">
        <f>'Base de données pop.'!C17</f>
        <v>733</v>
      </c>
      <c r="S6" s="9">
        <f>'Base de données pop.'!C18</f>
        <v>273</v>
      </c>
      <c r="T6" s="9">
        <f>'Base de données pop.'!C19</f>
        <v>431</v>
      </c>
      <c r="U6" s="9">
        <f>'Base de données pop.'!C20</f>
        <v>3269</v>
      </c>
      <c r="V6" s="9">
        <f>'Base de données pop.'!C21</f>
        <v>305</v>
      </c>
      <c r="W6" s="9">
        <f>'Base de données pop.'!C22</f>
        <v>1252</v>
      </c>
      <c r="X6" s="9">
        <f>'Base de données pop.'!C23</f>
        <v>1642</v>
      </c>
      <c r="Y6" s="9">
        <f>'Base de données pop.'!C24</f>
        <v>149</v>
      </c>
      <c r="Z6" s="9">
        <f>'Base de données pop.'!C25</f>
        <v>510</v>
      </c>
      <c r="AA6" s="9">
        <f>'Base de données pop.'!C26</f>
        <v>710</v>
      </c>
      <c r="AB6" s="9">
        <f>'Base de données pop.'!C27</f>
        <v>566</v>
      </c>
      <c r="AC6" s="9">
        <f>'Base de données pop.'!C28</f>
        <v>508</v>
      </c>
      <c r="AD6" s="9">
        <f>'Base de données pop.'!C29</f>
        <v>1957</v>
      </c>
      <c r="AE6" s="9">
        <f>'Base de données pop.'!C30</f>
        <v>2568</v>
      </c>
      <c r="AF6" s="9">
        <f>'Base de données pop.'!C31</f>
        <v>239</v>
      </c>
      <c r="AG6" s="9">
        <f>'Base de données pop.'!C32</f>
        <v>125</v>
      </c>
      <c r="AH6" s="9">
        <f>'Base de données pop.'!C33</f>
        <v>1907</v>
      </c>
      <c r="AI6" s="9">
        <f>'Base de données pop.'!C34</f>
        <v>1134</v>
      </c>
      <c r="AJ6" s="9">
        <f>'Base de données pop.'!C35</f>
        <v>1203</v>
      </c>
      <c r="AK6" s="9">
        <f>'Base de données pop.'!C36</f>
        <v>112</v>
      </c>
      <c r="AL6" s="9">
        <f>'Base de données pop.'!C37</f>
        <v>1171</v>
      </c>
      <c r="AM6" s="9">
        <f>'Base de données pop.'!C38</f>
        <v>655</v>
      </c>
      <c r="AN6" s="9">
        <f>'Base de données pop.'!C39</f>
        <v>631</v>
      </c>
      <c r="AO6" s="9">
        <f>'Base de données pop.'!C40</f>
        <v>1294</v>
      </c>
      <c r="AP6" s="9">
        <f>'Base de données pop.'!C41</f>
        <v>721</v>
      </c>
      <c r="AQ6" s="9">
        <f>'Base de données pop.'!C42</f>
        <v>1060</v>
      </c>
      <c r="AR6" s="9">
        <f>'Base de données pop.'!C43</f>
        <v>314</v>
      </c>
      <c r="AS6" s="9">
        <f>'Base de données pop.'!C44</f>
        <v>2453</v>
      </c>
      <c r="AT6" s="9">
        <f>'Base de données pop.'!C45</f>
        <v>774</v>
      </c>
      <c r="AU6" s="9">
        <f>'Base de données pop.'!C46</f>
        <v>363</v>
      </c>
      <c r="AV6" s="9">
        <f>'Base de données pop.'!C47</f>
        <v>332</v>
      </c>
      <c r="AW6" s="9">
        <f>'Base de données pop.'!C48</f>
        <v>1647</v>
      </c>
      <c r="AX6" s="9">
        <f>'Base de données pop.'!C49</f>
        <v>381</v>
      </c>
      <c r="AY6" s="9">
        <f>'Base de données pop.'!C50</f>
        <v>1057</v>
      </c>
      <c r="AZ6" s="9">
        <f>'Base de données pop.'!C51</f>
        <v>6601</v>
      </c>
      <c r="BA6" s="9">
        <f>'Base de données pop.'!C52</f>
        <v>547</v>
      </c>
      <c r="BB6" s="9">
        <f>SUM(C6:BA6)</f>
        <v>74548</v>
      </c>
      <c r="BC6" s="9">
        <f>SUM(C6:U6)</f>
        <v>39660</v>
      </c>
      <c r="BD6" s="9">
        <f>SUM(V6:AG6)</f>
        <v>10531</v>
      </c>
      <c r="BE6" s="9">
        <f>SUM(AH6:BA6)</f>
        <v>24357</v>
      </c>
    </row>
    <row r="7" spans="1:57" x14ac:dyDescent="0.2">
      <c r="C7" s="90" t="s">
        <v>55</v>
      </c>
      <c r="D7" s="90" t="s">
        <v>17</v>
      </c>
      <c r="E7" s="90" t="s">
        <v>56</v>
      </c>
      <c r="F7" s="90" t="s">
        <v>52</v>
      </c>
      <c r="G7" s="90" t="s">
        <v>32</v>
      </c>
      <c r="H7" s="90" t="s">
        <v>10</v>
      </c>
      <c r="I7" s="90" t="s">
        <v>14</v>
      </c>
      <c r="J7" s="90" t="s">
        <v>27</v>
      </c>
      <c r="K7" s="90" t="s">
        <v>41</v>
      </c>
      <c r="L7" s="90" t="s">
        <v>22</v>
      </c>
      <c r="M7" s="90" t="s">
        <v>21</v>
      </c>
      <c r="N7" s="90" t="s">
        <v>12</v>
      </c>
      <c r="O7" s="90" t="s">
        <v>16</v>
      </c>
      <c r="P7" s="90" t="s">
        <v>42</v>
      </c>
      <c r="Q7" s="90" t="s">
        <v>39</v>
      </c>
      <c r="R7" s="90" t="s">
        <v>30</v>
      </c>
      <c r="S7" s="90" t="s">
        <v>11</v>
      </c>
      <c r="T7" s="90" t="s">
        <v>58</v>
      </c>
      <c r="U7" s="90" t="s">
        <v>26</v>
      </c>
      <c r="V7" s="90" t="s">
        <v>29</v>
      </c>
      <c r="W7" s="90" t="s">
        <v>19</v>
      </c>
      <c r="X7" s="90" t="s">
        <v>44</v>
      </c>
      <c r="Y7" s="90" t="s">
        <v>38</v>
      </c>
      <c r="Z7" s="90" t="s">
        <v>18</v>
      </c>
      <c r="AA7" s="90" t="s">
        <v>40</v>
      </c>
      <c r="AB7" s="90" t="s">
        <v>35</v>
      </c>
      <c r="AC7" s="90" t="s">
        <v>7</v>
      </c>
      <c r="AD7" s="90" t="s">
        <v>54</v>
      </c>
      <c r="AE7" s="90" t="s">
        <v>20</v>
      </c>
      <c r="AF7" s="90" t="s">
        <v>6</v>
      </c>
      <c r="AG7" s="90" t="s">
        <v>33</v>
      </c>
      <c r="AH7" s="90" t="s">
        <v>51</v>
      </c>
      <c r="AI7" s="90" t="s">
        <v>13</v>
      </c>
      <c r="AJ7" s="90" t="s">
        <v>31</v>
      </c>
      <c r="AK7" s="90" t="s">
        <v>28</v>
      </c>
      <c r="AL7" s="90" t="s">
        <v>25</v>
      </c>
      <c r="AM7" s="90" t="s">
        <v>47</v>
      </c>
      <c r="AN7" s="90" t="s">
        <v>43</v>
      </c>
      <c r="AO7" s="90" t="s">
        <v>36</v>
      </c>
      <c r="AP7" s="90" t="s">
        <v>50</v>
      </c>
      <c r="AQ7" s="90" t="s">
        <v>8</v>
      </c>
      <c r="AR7" s="90" t="s">
        <v>23</v>
      </c>
      <c r="AS7" s="90" t="s">
        <v>9</v>
      </c>
      <c r="AT7" s="90" t="s">
        <v>61</v>
      </c>
      <c r="AU7" s="90" t="s">
        <v>850</v>
      </c>
      <c r="AV7" s="90" t="s">
        <v>34</v>
      </c>
      <c r="AW7" s="90" t="s">
        <v>48</v>
      </c>
      <c r="AX7" s="90" t="s">
        <v>46</v>
      </c>
      <c r="AY7" s="90" t="s">
        <v>57</v>
      </c>
      <c r="AZ7" s="90" t="s">
        <v>15</v>
      </c>
      <c r="BA7" s="90" t="s">
        <v>24</v>
      </c>
      <c r="BB7" s="112" t="s">
        <v>64</v>
      </c>
      <c r="BC7" s="112" t="s">
        <v>27</v>
      </c>
      <c r="BD7" s="112" t="s">
        <v>63</v>
      </c>
      <c r="BE7" s="112" t="s">
        <v>15</v>
      </c>
    </row>
    <row r="8" spans="1:57" x14ac:dyDescent="0.2">
      <c r="A8" s="8">
        <v>10</v>
      </c>
      <c r="B8" s="8" t="s">
        <v>236</v>
      </c>
      <c r="C8" s="19">
        <f>'5. Bilan 2023'!F6</f>
        <v>6225791.5600000005</v>
      </c>
      <c r="D8" s="19">
        <f>'5. Bilan 2023'!G6</f>
        <v>1129469.4399999999</v>
      </c>
      <c r="E8" s="19">
        <f>'5. Bilan 2023'!H6</f>
        <v>3364550.77</v>
      </c>
      <c r="F8" s="19">
        <f>'5. Bilan 2023'!I6</f>
        <v>4682127.29</v>
      </c>
      <c r="G8" s="19">
        <f>'5. Bilan 2023'!J6</f>
        <v>15956745.210000001</v>
      </c>
      <c r="H8" s="19">
        <f>'5. Bilan 2023'!K6</f>
        <v>8217890.5499999998</v>
      </c>
      <c r="I8" s="19">
        <f>'5. Bilan 2023'!L6</f>
        <v>11579657.029999999</v>
      </c>
      <c r="J8" s="19">
        <f>'5. Bilan 2023'!M6</f>
        <v>66151169.350000009</v>
      </c>
      <c r="K8" s="19">
        <f>'5. Bilan 2023'!N6</f>
        <v>3433954.1900000004</v>
      </c>
      <c r="L8" s="19">
        <f>'5. Bilan 2023'!O6</f>
        <v>283603.23</v>
      </c>
      <c r="M8" s="19">
        <f>'5. Bilan 2023'!P6</f>
        <v>17608235.700000003</v>
      </c>
      <c r="N8" s="19">
        <f>'5. Bilan 2023'!Q6</f>
        <v>2025637.3000000003</v>
      </c>
      <c r="O8" s="19">
        <f>'5. Bilan 2023'!R6</f>
        <v>491072.38</v>
      </c>
      <c r="P8" s="19">
        <f>'5. Bilan 2023'!S6</f>
        <v>1747064.31</v>
      </c>
      <c r="Q8" s="19">
        <f>'5. Bilan 2023'!T6</f>
        <v>2431056.4699999997</v>
      </c>
      <c r="R8" s="19">
        <f>'5. Bilan 2023'!U6</f>
        <v>6198806.75</v>
      </c>
      <c r="S8" s="19">
        <f>'5. Bilan 2023'!V6</f>
        <v>953442.88000000012</v>
      </c>
      <c r="T8" s="19">
        <f>'5. Bilan 2023'!W6</f>
        <v>1897127.15</v>
      </c>
      <c r="U8" s="19">
        <f>'5. Bilan 2023'!X6</f>
        <v>5433936.8800000008</v>
      </c>
      <c r="V8" s="19">
        <f>'5. Bilan 2023'!Y6</f>
        <v>1809164.1500000001</v>
      </c>
      <c r="W8" s="19">
        <f>'5. Bilan 2023'!Z6</f>
        <v>3581573.01</v>
      </c>
      <c r="X8" s="19">
        <f>'5. Bilan 2023'!AA6</f>
        <v>32224253.789999999</v>
      </c>
      <c r="Y8" s="19">
        <f>'5. Bilan 2023'!AB6</f>
        <v>1835143.9000000001</v>
      </c>
      <c r="Z8" s="19">
        <f>'5. Bilan 2023'!AC6</f>
        <v>2930503.5199999996</v>
      </c>
      <c r="AA8" s="19">
        <f>'5. Bilan 2023'!AD6</f>
        <v>2151210.0099999998</v>
      </c>
      <c r="AB8" s="19">
        <f>'5. Bilan 2023'!AE6</f>
        <v>2001684.5100000002</v>
      </c>
      <c r="AC8" s="19">
        <f>'5. Bilan 2023'!AF6</f>
        <v>3043874.2300000004</v>
      </c>
      <c r="AD8" s="19">
        <f>'5. Bilan 2023'!AG6</f>
        <v>8206868.8000000007</v>
      </c>
      <c r="AE8" s="19">
        <f>'5. Bilan 2023'!AH6</f>
        <v>11506428.15</v>
      </c>
      <c r="AF8" s="19">
        <f>'5. Bilan 2023'!AI6</f>
        <v>1849198.98</v>
      </c>
      <c r="AG8" s="19">
        <f>'5. Bilan 2023'!AJ6</f>
        <v>1915936.3</v>
      </c>
      <c r="AH8" s="19">
        <f>'5. Bilan 2023'!AK6</f>
        <v>6987052.6799999997</v>
      </c>
      <c r="AI8" s="19">
        <f>'5. Bilan 2023'!AL6</f>
        <v>5419396.3099999996</v>
      </c>
      <c r="AJ8" s="19">
        <f>'5. Bilan 2023'!AM6</f>
        <v>5702750.6200000001</v>
      </c>
      <c r="AK8" s="19">
        <f>'5. Bilan 2023'!AN6</f>
        <v>1514616.04</v>
      </c>
      <c r="AL8" s="19">
        <f>'5. Bilan 2023'!AO6</f>
        <v>16125444.41</v>
      </c>
      <c r="AM8" s="19">
        <f>'5. Bilan 2023'!AP6</f>
        <v>2756010.4699999997</v>
      </c>
      <c r="AN8" s="19">
        <f>'5. Bilan 2023'!AQ6</f>
        <v>3079432.68</v>
      </c>
      <c r="AO8" s="19">
        <f>'5. Bilan 2023'!AR6</f>
        <v>10816502.059999999</v>
      </c>
      <c r="AP8" s="19">
        <f>'5. Bilan 2023'!AS6</f>
        <v>2584544.98</v>
      </c>
      <c r="AQ8" s="19">
        <f>'5. Bilan 2023'!AT6</f>
        <v>4203864.45</v>
      </c>
      <c r="AR8" s="19">
        <f>'5. Bilan 2023'!AU6</f>
        <v>2772531.79</v>
      </c>
      <c r="AS8" s="19">
        <f>'5. Bilan 2023'!AV6</f>
        <v>5131515.6499999994</v>
      </c>
      <c r="AT8" s="19">
        <f>'5. Bilan 2023'!AW6</f>
        <v>3213394.9300000006</v>
      </c>
      <c r="AU8" s="19">
        <f>'5. Bilan 2023'!AX6</f>
        <v>1620584.54</v>
      </c>
      <c r="AV8" s="19">
        <f>'5. Bilan 2023'!AY6</f>
        <v>2294031.4000000004</v>
      </c>
      <c r="AW8" s="19">
        <f>'5. Bilan 2023'!AZ6</f>
        <v>4569535.6400000006</v>
      </c>
      <c r="AX8" s="19">
        <f>'5. Bilan 2023'!BA6</f>
        <v>3041087.9499999997</v>
      </c>
      <c r="AY8" s="19">
        <f>'5. Bilan 2023'!BB6</f>
        <v>5110839.08</v>
      </c>
      <c r="AZ8" s="19">
        <f>'5. Bilan 2023'!BC6</f>
        <v>27535890.880000003</v>
      </c>
      <c r="BA8" s="19">
        <f>'5. Bilan 2023'!BD6</f>
        <v>2723943.42</v>
      </c>
      <c r="BB8" s="19">
        <f>SUM(C8:BA8)</f>
        <v>350070147.77000004</v>
      </c>
      <c r="BC8" s="19">
        <f>SUM(C8:U8)</f>
        <v>159811338.44000003</v>
      </c>
      <c r="BD8" s="19">
        <f>SUM(V8:AG8)</f>
        <v>73055839.350000009</v>
      </c>
      <c r="BE8" s="19">
        <f>SUM(AH8:BA8)</f>
        <v>117202969.98</v>
      </c>
    </row>
    <row r="9" spans="1:57"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row>
    <row r="10" spans="1:57" x14ac:dyDescent="0.2">
      <c r="A10" s="8">
        <v>20</v>
      </c>
      <c r="B10" s="8" t="s">
        <v>248</v>
      </c>
      <c r="C10" s="19">
        <f>'5. Bilan 2023'!F122</f>
        <v>11516210.049999999</v>
      </c>
      <c r="D10" s="19">
        <f>'5. Bilan 2023'!G122</f>
        <v>2271344.35</v>
      </c>
      <c r="E10" s="19">
        <f>'5. Bilan 2023'!H122</f>
        <v>5471289.0199999996</v>
      </c>
      <c r="F10" s="19">
        <f>'5. Bilan 2023'!I122</f>
        <v>4547438.5599999996</v>
      </c>
      <c r="G10" s="19">
        <f>'5. Bilan 2023'!J122</f>
        <v>30668957.079999998</v>
      </c>
      <c r="H10" s="19">
        <f>'5. Bilan 2023'!K122</f>
        <v>24111670.329999998</v>
      </c>
      <c r="I10" s="19">
        <f>'5. Bilan 2023'!L122</f>
        <v>10936168.67</v>
      </c>
      <c r="J10" s="19">
        <f>'5. Bilan 2023'!M122</f>
        <v>176217457.5</v>
      </c>
      <c r="K10" s="19">
        <f>'5. Bilan 2023'!N122</f>
        <v>7751885.4200000009</v>
      </c>
      <c r="L10" s="19">
        <f>'5. Bilan 2023'!O122</f>
        <v>854277.12</v>
      </c>
      <c r="M10" s="135">
        <f>'5. Bilan 2023'!P122</f>
        <v>48572566.589999996</v>
      </c>
      <c r="N10" s="19">
        <f>'5. Bilan 2023'!Q122</f>
        <v>2913653.91</v>
      </c>
      <c r="O10" s="19">
        <f>'5. Bilan 2023'!R122</f>
        <v>502459.14</v>
      </c>
      <c r="P10" s="19">
        <f>'5. Bilan 2023'!S122</f>
        <v>3517640.6999999997</v>
      </c>
      <c r="Q10" s="19">
        <f>'5. Bilan 2023'!T122</f>
        <v>3894226.1799999997</v>
      </c>
      <c r="R10" s="19">
        <f>'5. Bilan 2023'!U122</f>
        <v>5455294.2999999998</v>
      </c>
      <c r="S10" s="19">
        <f>'5. Bilan 2023'!V122</f>
        <v>1398343.95</v>
      </c>
      <c r="T10" s="19">
        <f>'5. Bilan 2023'!W122</f>
        <v>3610281.5100000002</v>
      </c>
      <c r="U10" s="19">
        <f>'5. Bilan 2023'!X122</f>
        <v>16392280.369999999</v>
      </c>
      <c r="V10" s="19">
        <f>'5. Bilan 2023'!Y122</f>
        <v>605740.86</v>
      </c>
      <c r="W10" s="19">
        <f>'5. Bilan 2023'!Z122</f>
        <v>8236337.1399999997</v>
      </c>
      <c r="X10" s="19">
        <f>'5. Bilan 2023'!AA122</f>
        <v>13326638.43</v>
      </c>
      <c r="Y10" s="19">
        <f>'5. Bilan 2023'!AB122</f>
        <v>1523438.0699999998</v>
      </c>
      <c r="Z10" s="19">
        <f>'5. Bilan 2023'!AC122</f>
        <v>4533397.76</v>
      </c>
      <c r="AA10" s="19">
        <f>'5. Bilan 2023'!AD122</f>
        <v>7363977.0800000001</v>
      </c>
      <c r="AB10" s="19">
        <f>'5. Bilan 2023'!AE122</f>
        <v>4045749.61</v>
      </c>
      <c r="AC10" s="19">
        <f>'5. Bilan 2023'!AF122</f>
        <v>733220.51</v>
      </c>
      <c r="AD10" s="19">
        <f>'5. Bilan 2023'!AG122</f>
        <v>5680567.5699999994</v>
      </c>
      <c r="AE10" s="19">
        <f>'5. Bilan 2023'!AH122</f>
        <v>16814677.220000003</v>
      </c>
      <c r="AF10" s="19">
        <f>'5. Bilan 2023'!AI122</f>
        <v>1728048.82</v>
      </c>
      <c r="AG10" s="19">
        <f>'5. Bilan 2023'!AJ122</f>
        <v>817432.31</v>
      </c>
      <c r="AH10" s="19">
        <f>'5. Bilan 2023'!AK122</f>
        <v>17797379.120000001</v>
      </c>
      <c r="AI10" s="19">
        <f>'5. Bilan 2023'!AL122</f>
        <v>8007765.1399999997</v>
      </c>
      <c r="AJ10" s="19">
        <f>'5. Bilan 2023'!AM122</f>
        <v>12885634</v>
      </c>
      <c r="AK10" s="19">
        <f>'5. Bilan 2023'!AN122</f>
        <v>1440484.52</v>
      </c>
      <c r="AL10" s="19">
        <f>'5. Bilan 2023'!AO122</f>
        <v>9096491.3399999999</v>
      </c>
      <c r="AM10" s="19">
        <f>'5. Bilan 2023'!AP122</f>
        <v>5189921.37</v>
      </c>
      <c r="AN10" s="19">
        <f>'5. Bilan 2023'!AQ122</f>
        <v>5229923.3900000006</v>
      </c>
      <c r="AO10" s="19">
        <f>'5. Bilan 2023'!AR122</f>
        <v>10507725.350000001</v>
      </c>
      <c r="AP10" s="19">
        <f>'5. Bilan 2023'!AS122</f>
        <v>5683203.0499999998</v>
      </c>
      <c r="AQ10" s="19">
        <f>'5. Bilan 2023'!AT122</f>
        <v>9443544.6800000016</v>
      </c>
      <c r="AR10" s="19">
        <f>'5. Bilan 2023'!AU122</f>
        <v>1672271.6099999999</v>
      </c>
      <c r="AS10" s="19">
        <f>'5. Bilan 2023'!AV122</f>
        <v>15611434.800000001</v>
      </c>
      <c r="AT10" s="19">
        <f>'5. Bilan 2023'!AW122</f>
        <v>5996657.0699999994</v>
      </c>
      <c r="AU10" s="19">
        <f>'5. Bilan 2023'!AX122</f>
        <v>921546.70000000007</v>
      </c>
      <c r="AV10" s="19">
        <f>'5. Bilan 2023'!AY122</f>
        <v>2048619.17</v>
      </c>
      <c r="AW10" s="19">
        <f>'5. Bilan 2023'!AZ122</f>
        <v>19491255.919999998</v>
      </c>
      <c r="AX10" s="19">
        <f>'5. Bilan 2023'!BA122</f>
        <v>3257793.8099999996</v>
      </c>
      <c r="AY10" s="19">
        <f>'5. Bilan 2023'!BB122</f>
        <v>10712340.949999999</v>
      </c>
      <c r="AZ10" s="19">
        <f>'5. Bilan 2023'!BC122</f>
        <v>73459291.810000002</v>
      </c>
      <c r="BA10" s="19">
        <f>'5. Bilan 2023'!BD122</f>
        <v>4807157.72</v>
      </c>
      <c r="BB10" s="19">
        <f>SUM(C10:BA10)</f>
        <v>649273111.64999986</v>
      </c>
      <c r="BC10" s="19">
        <f>SUM(C10:U10)</f>
        <v>360603444.75</v>
      </c>
      <c r="BD10" s="19">
        <f>SUM(V10:AG10)</f>
        <v>65409225.380000003</v>
      </c>
      <c r="BE10" s="19">
        <f>SUM(AH10:BA10)</f>
        <v>223260441.51999998</v>
      </c>
    </row>
    <row r="11" spans="1:57"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row>
    <row r="12" spans="1:57" x14ac:dyDescent="0.2">
      <c r="A12" s="8">
        <v>200</v>
      </c>
      <c r="B12" s="8" t="s">
        <v>249</v>
      </c>
      <c r="C12" s="19">
        <f>'5. Bilan 2023'!F123</f>
        <v>388186.60000000003</v>
      </c>
      <c r="D12" s="19">
        <f>'5. Bilan 2023'!G123</f>
        <v>108982.65</v>
      </c>
      <c r="E12" s="19">
        <f>'5. Bilan 2023'!H123</f>
        <v>64397.15</v>
      </c>
      <c r="F12" s="19">
        <f>'5. Bilan 2023'!I123</f>
        <v>285138.56</v>
      </c>
      <c r="G12" s="19">
        <f>'5. Bilan 2023'!J123</f>
        <v>1842482.12</v>
      </c>
      <c r="H12" s="19">
        <f>'5. Bilan 2023'!K123</f>
        <v>2272901.04</v>
      </c>
      <c r="I12" s="19">
        <f>'5. Bilan 2023'!L123</f>
        <v>231765.06</v>
      </c>
      <c r="J12" s="19">
        <f>'5. Bilan 2023'!M123</f>
        <v>11396893.23</v>
      </c>
      <c r="K12" s="19">
        <f>'5. Bilan 2023'!N123</f>
        <v>669934.87</v>
      </c>
      <c r="L12" s="19">
        <f>'5. Bilan 2023'!O123</f>
        <v>0</v>
      </c>
      <c r="M12" s="19">
        <f>'5. Bilan 2023'!P123</f>
        <v>2047572.42</v>
      </c>
      <c r="N12" s="19">
        <f>'5. Bilan 2023'!Q123</f>
        <v>41629.83</v>
      </c>
      <c r="O12" s="19">
        <f>'5. Bilan 2023'!R123</f>
        <v>20260</v>
      </c>
      <c r="P12" s="19">
        <f>'5. Bilan 2023'!S123</f>
        <v>607761.11</v>
      </c>
      <c r="Q12" s="19">
        <f>'5. Bilan 2023'!T123</f>
        <v>121241.75</v>
      </c>
      <c r="R12" s="19">
        <f>'5. Bilan 2023'!U123</f>
        <v>225136.55</v>
      </c>
      <c r="S12" s="19">
        <f>'5. Bilan 2023'!V123</f>
        <v>389542.71</v>
      </c>
      <c r="T12" s="19">
        <f>'5. Bilan 2023'!W123</f>
        <v>71080.800000000003</v>
      </c>
      <c r="U12" s="19">
        <f>'5. Bilan 2023'!X123</f>
        <v>1422273</v>
      </c>
      <c r="V12" s="19">
        <f>'5. Bilan 2023'!Y123</f>
        <v>0</v>
      </c>
      <c r="W12" s="19">
        <f>'5. Bilan 2023'!Z123</f>
        <v>423662.73000000004</v>
      </c>
      <c r="X12" s="19">
        <f>'5. Bilan 2023'!AA123</f>
        <v>3004934.01</v>
      </c>
      <c r="Y12" s="19">
        <f>'5. Bilan 2023'!AB123</f>
        <v>58746.05</v>
      </c>
      <c r="Z12" s="19">
        <f>'5. Bilan 2023'!AC123</f>
        <v>267728.61</v>
      </c>
      <c r="AA12" s="19">
        <f>'5. Bilan 2023'!AD123</f>
        <v>139644.75</v>
      </c>
      <c r="AB12" s="19">
        <f>'5. Bilan 2023'!AE123</f>
        <v>219249.65000000002</v>
      </c>
      <c r="AC12" s="19">
        <f>'5. Bilan 2023'!AF123</f>
        <v>131021.76999999999</v>
      </c>
      <c r="AD12" s="19">
        <f>'5. Bilan 2023'!AG123</f>
        <v>1249725.98</v>
      </c>
      <c r="AE12" s="19">
        <f>'5. Bilan 2023'!AH123</f>
        <v>569937.07000000007</v>
      </c>
      <c r="AF12" s="19">
        <f>'5. Bilan 2023'!AI123</f>
        <v>586634.94999999995</v>
      </c>
      <c r="AG12" s="19">
        <f>'5. Bilan 2023'!AJ123</f>
        <v>63246.01</v>
      </c>
      <c r="AH12" s="19">
        <f>'5. Bilan 2023'!AK123</f>
        <v>535592.78</v>
      </c>
      <c r="AI12" s="19">
        <f>'5. Bilan 2023'!AL123</f>
        <v>120775.84</v>
      </c>
      <c r="AJ12" s="19">
        <f>'5. Bilan 2023'!AM123</f>
        <v>500314.88</v>
      </c>
      <c r="AK12" s="19">
        <f>'5. Bilan 2023'!AN123</f>
        <v>37943.22</v>
      </c>
      <c r="AL12" s="19">
        <f>'5. Bilan 2023'!AO123</f>
        <v>692746.51</v>
      </c>
      <c r="AM12" s="19">
        <f>'5. Bilan 2023'!AP123</f>
        <v>283729.33999999997</v>
      </c>
      <c r="AN12" s="19">
        <f>'5. Bilan 2023'!AQ123</f>
        <v>237126.82</v>
      </c>
      <c r="AO12" s="19">
        <f>'5. Bilan 2023'!AR123</f>
        <v>526552.65</v>
      </c>
      <c r="AP12" s="19">
        <f>'5. Bilan 2023'!AS123</f>
        <v>678578.01</v>
      </c>
      <c r="AQ12" s="19">
        <f>'5. Bilan 2023'!AT123</f>
        <v>240442.31</v>
      </c>
      <c r="AR12" s="19">
        <f>'5. Bilan 2023'!AU123</f>
        <v>41249.660000000003</v>
      </c>
      <c r="AS12" s="19">
        <f>'5. Bilan 2023'!AV123</f>
        <v>429144.89999999997</v>
      </c>
      <c r="AT12" s="19">
        <f>'5. Bilan 2023'!AW123</f>
        <v>162447.82</v>
      </c>
      <c r="AU12" s="19">
        <f>'5. Bilan 2023'!AX123</f>
        <v>116119.43</v>
      </c>
      <c r="AV12" s="19">
        <f>'5. Bilan 2023'!AY123</f>
        <v>202576.04</v>
      </c>
      <c r="AW12" s="19">
        <f>'5. Bilan 2023'!AZ123</f>
        <v>946254.85</v>
      </c>
      <c r="AX12" s="19">
        <f>'5. Bilan 2023'!BA123</f>
        <v>73512.92</v>
      </c>
      <c r="AY12" s="19">
        <f>'5. Bilan 2023'!BB123</f>
        <v>356834.51999999996</v>
      </c>
      <c r="AZ12" s="19">
        <f>'5. Bilan 2023'!BC123</f>
        <v>2372740.48</v>
      </c>
      <c r="BA12" s="19">
        <f>'5. Bilan 2023'!BD123</f>
        <v>356190.26</v>
      </c>
      <c r="BB12" s="19">
        <f>SUM(C12:BA12)</f>
        <v>37832584.270000003</v>
      </c>
      <c r="BC12" s="19">
        <f>SUM(C12:U12)</f>
        <v>22207179.450000003</v>
      </c>
      <c r="BD12" s="19">
        <f>SUM(V12:AG12)</f>
        <v>6714531.5799999991</v>
      </c>
      <c r="BE12" s="19">
        <f>SUM(AH12:BA12)</f>
        <v>8910873.2399999984</v>
      </c>
    </row>
    <row r="13" spans="1:57"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x14ac:dyDescent="0.2">
      <c r="A14" s="8">
        <v>201</v>
      </c>
      <c r="B14" s="8" t="s">
        <v>250</v>
      </c>
      <c r="C14" s="19">
        <f>'5. Bilan 2023'!F133</f>
        <v>3247562.34</v>
      </c>
      <c r="D14" s="19">
        <f>'5. Bilan 2023'!G133</f>
        <v>308700</v>
      </c>
      <c r="E14" s="19">
        <f>'5. Bilan 2023'!H133</f>
        <v>128800</v>
      </c>
      <c r="F14" s="19">
        <f>'5. Bilan 2023'!I133</f>
        <v>324783.78999999998</v>
      </c>
      <c r="G14" s="19">
        <f>'5. Bilan 2023'!J133</f>
        <v>9159616.7400000002</v>
      </c>
      <c r="H14" s="19">
        <f>'5. Bilan 2023'!K133</f>
        <v>9781550</v>
      </c>
      <c r="I14" s="19">
        <f>'5. Bilan 2023'!L133</f>
        <v>125000</v>
      </c>
      <c r="J14" s="19">
        <f>'5. Bilan 2023'!M133</f>
        <v>29206108</v>
      </c>
      <c r="K14" s="19">
        <f>'5. Bilan 2023'!N133</f>
        <v>3179142.7</v>
      </c>
      <c r="L14" s="19">
        <f>'5. Bilan 2023'!O133</f>
        <v>0</v>
      </c>
      <c r="M14" s="19">
        <f>'5. Bilan 2023'!P133</f>
        <v>16659160</v>
      </c>
      <c r="N14" s="19">
        <f>'5. Bilan 2023'!Q133</f>
        <v>264365.36</v>
      </c>
      <c r="O14" s="19">
        <f>'5. Bilan 2023'!R133</f>
        <v>112164.19</v>
      </c>
      <c r="P14" s="19">
        <f>'5. Bilan 2023'!S133</f>
        <v>367561.58999999997</v>
      </c>
      <c r="Q14" s="19">
        <f>'5. Bilan 2023'!T133</f>
        <v>2222074.23</v>
      </c>
      <c r="R14" s="19">
        <f>'5. Bilan 2023'!U133</f>
        <v>352571.55</v>
      </c>
      <c r="S14" s="19">
        <f>'5. Bilan 2023'!V133</f>
        <v>158331.28999999998</v>
      </c>
      <c r="T14" s="19">
        <f>'5. Bilan 2023'!W133</f>
        <v>142193.9</v>
      </c>
      <c r="U14" s="19">
        <f>'5. Bilan 2023'!X133</f>
        <v>2589284.9500000002</v>
      </c>
      <c r="V14" s="19">
        <f>'5. Bilan 2023'!Y133</f>
        <v>67120</v>
      </c>
      <c r="W14" s="19">
        <f>'5. Bilan 2023'!Z133</f>
        <v>791364.46</v>
      </c>
      <c r="X14" s="19">
        <f>'5. Bilan 2023'!AA133</f>
        <v>0</v>
      </c>
      <c r="Y14" s="19">
        <f>'5. Bilan 2023'!AB133</f>
        <v>412500</v>
      </c>
      <c r="Z14" s="19">
        <f>'5. Bilan 2023'!AC133</f>
        <v>625199.16999999993</v>
      </c>
      <c r="AA14" s="19">
        <f>'5. Bilan 2023'!AD133</f>
        <v>1064787.7</v>
      </c>
      <c r="AB14" s="19">
        <f>'5. Bilan 2023'!AE133</f>
        <v>227038.08000000002</v>
      </c>
      <c r="AC14" s="19">
        <f>'5. Bilan 2023'!AF133</f>
        <v>131498.95000000001</v>
      </c>
      <c r="AD14" s="19">
        <f>'5. Bilan 2023'!AG133</f>
        <v>67194.09</v>
      </c>
      <c r="AE14" s="19">
        <f>'5. Bilan 2023'!AH133</f>
        <v>3108720</v>
      </c>
      <c r="AF14" s="19">
        <f>'5. Bilan 2023'!AI133</f>
        <v>112241.81</v>
      </c>
      <c r="AG14" s="19">
        <f>'5. Bilan 2023'!AJ133</f>
        <v>36020</v>
      </c>
      <c r="AH14" s="19">
        <f>'5. Bilan 2023'!AK133</f>
        <v>510000</v>
      </c>
      <c r="AI14" s="19">
        <f>'5. Bilan 2023'!AL133</f>
        <v>462372.1</v>
      </c>
      <c r="AJ14" s="19">
        <f>'5. Bilan 2023'!AM133</f>
        <v>1284716.3500000001</v>
      </c>
      <c r="AK14" s="19">
        <f>'5. Bilan 2023'!AN133</f>
        <v>0</v>
      </c>
      <c r="AL14" s="19">
        <f>'5. Bilan 2023'!AO133</f>
        <v>0</v>
      </c>
      <c r="AM14" s="19">
        <f>'5. Bilan 2023'!AP133</f>
        <v>103650</v>
      </c>
      <c r="AN14" s="19">
        <f>'5. Bilan 2023'!AQ133</f>
        <v>701481.45</v>
      </c>
      <c r="AO14" s="19">
        <f>'5. Bilan 2023'!AR133</f>
        <v>181840</v>
      </c>
      <c r="AP14" s="19">
        <f>'5. Bilan 2023'!AS133</f>
        <v>270792.87</v>
      </c>
      <c r="AQ14" s="19">
        <f>'5. Bilan 2023'!AT133</f>
        <v>301720</v>
      </c>
      <c r="AR14" s="19">
        <f>'5. Bilan 2023'!AU133</f>
        <v>19300</v>
      </c>
      <c r="AS14" s="19">
        <f>'5. Bilan 2023'!AV133</f>
        <v>83752.37</v>
      </c>
      <c r="AT14" s="19">
        <f>'5. Bilan 2023'!AW133</f>
        <v>147300</v>
      </c>
      <c r="AU14" s="19">
        <f>'5. Bilan 2023'!AX133</f>
        <v>0</v>
      </c>
      <c r="AV14" s="19">
        <f>'5. Bilan 2023'!AY133</f>
        <v>55272.89</v>
      </c>
      <c r="AW14" s="19">
        <f>'5. Bilan 2023'!AZ133</f>
        <v>1900488.77</v>
      </c>
      <c r="AX14" s="19">
        <f>'5. Bilan 2023'!BA133</f>
        <v>1323284.04</v>
      </c>
      <c r="AY14" s="19">
        <f>'5. Bilan 2023'!BB133</f>
        <v>2970150.44</v>
      </c>
      <c r="AZ14" s="19">
        <f>'5. Bilan 2023'!BC133</f>
        <v>10463949.6</v>
      </c>
      <c r="BA14" s="19">
        <f>'5. Bilan 2023'!BD133</f>
        <v>432322.26</v>
      </c>
      <c r="BB14" s="19">
        <f>SUM(C14:BA14)</f>
        <v>106185048.03000003</v>
      </c>
      <c r="BC14" s="19">
        <f>SUM(C14:U14)</f>
        <v>78328970.630000025</v>
      </c>
      <c r="BD14" s="19">
        <f>SUM(V14:AG14)</f>
        <v>6643684.2599999998</v>
      </c>
      <c r="BE14" s="19">
        <f>SUM(AH14:BA14)</f>
        <v>21212393.140000004</v>
      </c>
    </row>
    <row r="15" spans="1:57"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row>
    <row r="16" spans="1:57" x14ac:dyDescent="0.2">
      <c r="A16" s="8">
        <v>206</v>
      </c>
      <c r="B16" s="8" t="s">
        <v>253</v>
      </c>
      <c r="C16" s="19">
        <f>'5. Bilan 2023'!F165</f>
        <v>7510551.21</v>
      </c>
      <c r="D16" s="19">
        <f>'5. Bilan 2023'!G165</f>
        <v>1851799.6</v>
      </c>
      <c r="E16" s="19">
        <f>'5. Bilan 2023'!H165</f>
        <v>4920200</v>
      </c>
      <c r="F16" s="19">
        <f>'5. Bilan 2023'!I165</f>
        <v>3492259.81</v>
      </c>
      <c r="G16" s="19">
        <f>'5. Bilan 2023'!J165</f>
        <v>19132837.5</v>
      </c>
      <c r="H16" s="19">
        <f>'5. Bilan 2023'!K165</f>
        <v>10914450</v>
      </c>
      <c r="I16" s="19">
        <f>'5. Bilan 2023'!L165</f>
        <v>9621376.1999999993</v>
      </c>
      <c r="J16" s="19">
        <f>'5. Bilan 2023'!M165</f>
        <v>131323275.34999999</v>
      </c>
      <c r="K16" s="19">
        <f>'5. Bilan 2023'!N165</f>
        <v>3879800</v>
      </c>
      <c r="L16" s="19">
        <f>'5. Bilan 2023'!O165</f>
        <v>714480.9</v>
      </c>
      <c r="M16" s="19">
        <f>'5. Bilan 2023'!P165</f>
        <v>27794830.149999999</v>
      </c>
      <c r="N16" s="19">
        <f>'5. Bilan 2023'!Q165</f>
        <v>2331870.35</v>
      </c>
      <c r="O16" s="19">
        <f>'5. Bilan 2023'!R165</f>
        <v>339150</v>
      </c>
      <c r="P16" s="19">
        <f>'5. Bilan 2023'!S165</f>
        <v>2494299.85</v>
      </c>
      <c r="Q16" s="19">
        <f>'5. Bilan 2023'!T165</f>
        <v>1470500</v>
      </c>
      <c r="R16" s="19">
        <f>'5. Bilan 2023'!U165</f>
        <v>4248500</v>
      </c>
      <c r="S16" s="19">
        <f>'5. Bilan 2023'!V165</f>
        <v>717950</v>
      </c>
      <c r="T16" s="19">
        <f>'5. Bilan 2023'!W165</f>
        <v>3081197.16</v>
      </c>
      <c r="U16" s="19">
        <f>'5. Bilan 2023'!X165</f>
        <v>11585480</v>
      </c>
      <c r="V16" s="19">
        <f>'5. Bilan 2023'!Y165</f>
        <v>387206.2</v>
      </c>
      <c r="W16" s="19">
        <f>'5. Bilan 2023'!Z165</f>
        <v>6855600</v>
      </c>
      <c r="X16" s="19">
        <f>'5. Bilan 2023'!AA165</f>
        <v>566000</v>
      </c>
      <c r="Y16" s="19">
        <f>'5. Bilan 2023'!AB165</f>
        <v>750000</v>
      </c>
      <c r="Z16" s="19">
        <f>'5. Bilan 2023'!AC165</f>
        <v>3420125</v>
      </c>
      <c r="AA16" s="19">
        <f>'5. Bilan 2023'!AD165</f>
        <v>5632900</v>
      </c>
      <c r="AB16" s="19">
        <f>'5. Bilan 2023'!AE165</f>
        <v>3355700</v>
      </c>
      <c r="AC16" s="19">
        <f>'5. Bilan 2023'!AF165</f>
        <v>120000</v>
      </c>
      <c r="AD16" s="19">
        <f>'5. Bilan 2023'!AG165</f>
        <v>3841400</v>
      </c>
      <c r="AE16" s="19">
        <f>'5. Bilan 2023'!AH165</f>
        <v>11860595.15</v>
      </c>
      <c r="AF16" s="19">
        <f>'5. Bilan 2023'!AI165</f>
        <v>923842.26</v>
      </c>
      <c r="AG16" s="19">
        <f>'5. Bilan 2023'!AJ165</f>
        <v>626830</v>
      </c>
      <c r="AH16" s="19">
        <f>'5. Bilan 2023'!AK165</f>
        <v>15858820</v>
      </c>
      <c r="AI16" s="19">
        <f>'5. Bilan 2023'!AL165</f>
        <v>7260650</v>
      </c>
      <c r="AJ16" s="19">
        <f>'5. Bilan 2023'!AM165</f>
        <v>10478627.85</v>
      </c>
      <c r="AK16" s="19">
        <f>'5. Bilan 2023'!AN165</f>
        <v>1363570</v>
      </c>
      <c r="AL16" s="19">
        <f>'5. Bilan 2023'!AO165</f>
        <v>7923800</v>
      </c>
      <c r="AM16" s="19">
        <f>'5. Bilan 2023'!AP165</f>
        <v>4552450</v>
      </c>
      <c r="AN16" s="19">
        <f>'5. Bilan 2023'!AQ165</f>
        <v>4079235</v>
      </c>
      <c r="AO16" s="19">
        <f>'5. Bilan 2023'!AR165</f>
        <v>9438240.8800000008</v>
      </c>
      <c r="AP16" s="19">
        <f>'5. Bilan 2023'!AS165</f>
        <v>4689018.5999999996</v>
      </c>
      <c r="AQ16" s="19">
        <f>'5. Bilan 2023'!AT165</f>
        <v>8848577.5</v>
      </c>
      <c r="AR16" s="19">
        <f>'5. Bilan 2023'!AU165</f>
        <v>1568065</v>
      </c>
      <c r="AS16" s="19">
        <f>'5. Bilan 2023'!AV165</f>
        <v>14611300</v>
      </c>
      <c r="AT16" s="19">
        <f>'5. Bilan 2023'!AW165</f>
        <v>5418942</v>
      </c>
      <c r="AU16" s="19">
        <f>'5. Bilan 2023'!AX165</f>
        <v>656850</v>
      </c>
      <c r="AV16" s="19">
        <f>'5. Bilan 2023'!AY165</f>
        <v>1689820</v>
      </c>
      <c r="AW16" s="19">
        <f>'5. Bilan 2023'!AZ165</f>
        <v>16384012</v>
      </c>
      <c r="AX16" s="19">
        <f>'5. Bilan 2023'!BA165</f>
        <v>1762350</v>
      </c>
      <c r="AY16" s="19">
        <f>'5. Bilan 2023'!BB165</f>
        <v>7168940</v>
      </c>
      <c r="AZ16" s="19">
        <f>'5. Bilan 2023'!BC165</f>
        <v>58435785.399999999</v>
      </c>
      <c r="BA16" s="19">
        <f>'5. Bilan 2023'!BD165</f>
        <v>3741973.15</v>
      </c>
      <c r="BB16" s="19">
        <f>SUM(C16:BA16)</f>
        <v>471696034.06999993</v>
      </c>
      <c r="BC16" s="19">
        <f>SUM(C16:U16)</f>
        <v>247424808.08000001</v>
      </c>
      <c r="BD16" s="19">
        <f>SUM(V16:AG16)</f>
        <v>38340198.609999999</v>
      </c>
      <c r="BE16" s="19">
        <f>SUM(AH16:BA16)</f>
        <v>185931027.38000003</v>
      </c>
    </row>
    <row r="17" spans="1:57"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row>
    <row r="18" spans="1:57" x14ac:dyDescent="0.2">
      <c r="A18" s="8">
        <v>2016</v>
      </c>
      <c r="B18" s="8" t="s">
        <v>265</v>
      </c>
      <c r="C18" s="19">
        <f>'5. Bilan 2023'!F140</f>
        <v>0</v>
      </c>
      <c r="D18" s="19">
        <f>'5. Bilan 2023'!G140</f>
        <v>0</v>
      </c>
      <c r="E18" s="19">
        <f>'5. Bilan 2023'!H140</f>
        <v>0</v>
      </c>
      <c r="F18" s="19">
        <f>'5. Bilan 2023'!I140</f>
        <v>0</v>
      </c>
      <c r="G18" s="19">
        <f>'5. Bilan 2023'!J140</f>
        <v>0</v>
      </c>
      <c r="H18" s="19">
        <f>'5. Bilan 2023'!K140</f>
        <v>0</v>
      </c>
      <c r="I18" s="19">
        <f>'5. Bilan 2023'!L140</f>
        <v>0</v>
      </c>
      <c r="J18" s="19">
        <f>'5. Bilan 2023'!M140</f>
        <v>0</v>
      </c>
      <c r="K18" s="19">
        <f>'5. Bilan 2023'!N140</f>
        <v>0</v>
      </c>
      <c r="L18" s="19">
        <f>'5. Bilan 2023'!O140</f>
        <v>0</v>
      </c>
      <c r="M18" s="19">
        <f>'5. Bilan 2023'!P140</f>
        <v>0</v>
      </c>
      <c r="N18" s="19">
        <f>'5. Bilan 2023'!Q140</f>
        <v>0</v>
      </c>
      <c r="O18" s="19">
        <f>'5. Bilan 2023'!R140</f>
        <v>0</v>
      </c>
      <c r="P18" s="19">
        <f>'5. Bilan 2023'!S140</f>
        <v>0</v>
      </c>
      <c r="Q18" s="19">
        <f>'5. Bilan 2023'!T140</f>
        <v>0</v>
      </c>
      <c r="R18" s="19">
        <f>'5. Bilan 2023'!U140</f>
        <v>0</v>
      </c>
      <c r="S18" s="19">
        <f>'5. Bilan 2023'!V140</f>
        <v>0</v>
      </c>
      <c r="T18" s="19">
        <f>'5. Bilan 2023'!W140</f>
        <v>0</v>
      </c>
      <c r="U18" s="19">
        <f>'5. Bilan 2023'!X140</f>
        <v>0</v>
      </c>
      <c r="V18" s="19">
        <f>'5. Bilan 2023'!Y140</f>
        <v>0</v>
      </c>
      <c r="W18" s="19">
        <f>'5. Bilan 2023'!Z140</f>
        <v>0</v>
      </c>
      <c r="X18" s="19">
        <f>'5. Bilan 2023'!AA140</f>
        <v>0</v>
      </c>
      <c r="Y18" s="19">
        <f>'5. Bilan 2023'!AB140</f>
        <v>0</v>
      </c>
      <c r="Z18" s="19">
        <f>'5. Bilan 2023'!AC140</f>
        <v>0</v>
      </c>
      <c r="AA18" s="19">
        <f>'5. Bilan 2023'!AD140</f>
        <v>0</v>
      </c>
      <c r="AB18" s="19">
        <f>'5. Bilan 2023'!AE140</f>
        <v>0</v>
      </c>
      <c r="AC18" s="19">
        <f>'5. Bilan 2023'!AF140</f>
        <v>0</v>
      </c>
      <c r="AD18" s="19">
        <f>'5. Bilan 2023'!AG140</f>
        <v>0</v>
      </c>
      <c r="AE18" s="19">
        <f>'5. Bilan 2023'!AH140</f>
        <v>0</v>
      </c>
      <c r="AF18" s="19">
        <f>'5. Bilan 2023'!AI140</f>
        <v>0</v>
      </c>
      <c r="AG18" s="19">
        <f>'5. Bilan 2023'!AJ140</f>
        <v>0</v>
      </c>
      <c r="AH18" s="19">
        <f>'5. Bilan 2023'!AK140</f>
        <v>0</v>
      </c>
      <c r="AI18" s="19">
        <f>'5. Bilan 2023'!AL140</f>
        <v>0</v>
      </c>
      <c r="AJ18" s="19">
        <f>'5. Bilan 2023'!AM140</f>
        <v>0</v>
      </c>
      <c r="AK18" s="19">
        <f>'5. Bilan 2023'!AN140</f>
        <v>0</v>
      </c>
      <c r="AL18" s="19">
        <f>'5. Bilan 2023'!AO140</f>
        <v>0</v>
      </c>
      <c r="AM18" s="19">
        <f>'5. Bilan 2023'!AP140</f>
        <v>0</v>
      </c>
      <c r="AN18" s="19">
        <f>'5. Bilan 2023'!AQ140</f>
        <v>0</v>
      </c>
      <c r="AO18" s="19">
        <f>'5. Bilan 2023'!AR140</f>
        <v>0</v>
      </c>
      <c r="AP18" s="19">
        <f>'5. Bilan 2023'!AS140</f>
        <v>0</v>
      </c>
      <c r="AQ18" s="19">
        <f>'5. Bilan 2023'!AT140</f>
        <v>0</v>
      </c>
      <c r="AR18" s="19">
        <f>'5. Bilan 2023'!AU140</f>
        <v>0</v>
      </c>
      <c r="AS18" s="19">
        <f>'5. Bilan 2023'!AV140</f>
        <v>0</v>
      </c>
      <c r="AT18" s="19">
        <f>'5. Bilan 2023'!AW140</f>
        <v>0</v>
      </c>
      <c r="AU18" s="19">
        <f>'5. Bilan 2023'!AX140</f>
        <v>0</v>
      </c>
      <c r="AV18" s="19">
        <f>'5. Bilan 2023'!AY140</f>
        <v>0</v>
      </c>
      <c r="AW18" s="19">
        <f>'5. Bilan 2023'!AZ140</f>
        <v>0</v>
      </c>
      <c r="AX18" s="19">
        <f>'5. Bilan 2023'!BA140</f>
        <v>0</v>
      </c>
      <c r="AY18" s="19">
        <f>'5. Bilan 2023'!BB140</f>
        <v>0</v>
      </c>
      <c r="AZ18" s="19">
        <f>'5. Bilan 2023'!BC140</f>
        <v>0</v>
      </c>
      <c r="BA18" s="19">
        <f>'5. Bilan 2023'!BD140</f>
        <v>0</v>
      </c>
      <c r="BB18" s="19">
        <f>SUM(C18:BA18)</f>
        <v>0</v>
      </c>
      <c r="BC18" s="19">
        <f>SUM(C18:U18)</f>
        <v>0</v>
      </c>
      <c r="BD18" s="19">
        <f>SUM(V18:AG18)</f>
        <v>0</v>
      </c>
      <c r="BE18" s="19">
        <f>SUM(AH18:BA18)</f>
        <v>0</v>
      </c>
    </row>
    <row r="19" spans="1:57"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row>
    <row r="20" spans="1:57"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row>
    <row r="21" spans="1:57" ht="15" x14ac:dyDescent="0.25">
      <c r="B21" s="136" t="s">
        <v>623</v>
      </c>
      <c r="C21" s="137">
        <f>C12+C14+C16-C18</f>
        <v>11146300.15</v>
      </c>
      <c r="D21" s="137">
        <f t="shared" ref="D21:BA21" si="0">D12+D14+D16-D18</f>
        <v>2269482.25</v>
      </c>
      <c r="E21" s="137">
        <f t="shared" si="0"/>
        <v>5113397.1500000004</v>
      </c>
      <c r="F21" s="137">
        <f t="shared" si="0"/>
        <v>4102182.16</v>
      </c>
      <c r="G21" s="137">
        <f t="shared" si="0"/>
        <v>30134936.359999999</v>
      </c>
      <c r="H21" s="137">
        <f t="shared" si="0"/>
        <v>22968901.039999999</v>
      </c>
      <c r="I21" s="137">
        <f t="shared" si="0"/>
        <v>9978141.2599999998</v>
      </c>
      <c r="J21" s="137">
        <f t="shared" si="0"/>
        <v>171926276.57999998</v>
      </c>
      <c r="K21" s="137">
        <f t="shared" si="0"/>
        <v>7728877.5700000003</v>
      </c>
      <c r="L21" s="137">
        <f t="shared" si="0"/>
        <v>714480.9</v>
      </c>
      <c r="M21" s="137">
        <f t="shared" si="0"/>
        <v>46501562.57</v>
      </c>
      <c r="N21" s="137">
        <f t="shared" si="0"/>
        <v>2637865.54</v>
      </c>
      <c r="O21" s="137">
        <f t="shared" si="0"/>
        <v>471574.19</v>
      </c>
      <c r="P21" s="137">
        <f t="shared" si="0"/>
        <v>3469622.55</v>
      </c>
      <c r="Q21" s="137">
        <f t="shared" si="0"/>
        <v>3813815.98</v>
      </c>
      <c r="R21" s="137">
        <f t="shared" si="0"/>
        <v>4826208.0999999996</v>
      </c>
      <c r="S21" s="137">
        <f t="shared" si="0"/>
        <v>1265824</v>
      </c>
      <c r="T21" s="137">
        <f t="shared" si="0"/>
        <v>3294471.8600000003</v>
      </c>
      <c r="U21" s="137">
        <f t="shared" si="0"/>
        <v>15597037.949999999</v>
      </c>
      <c r="V21" s="137">
        <f t="shared" si="0"/>
        <v>454326.2</v>
      </c>
      <c r="W21" s="137">
        <f t="shared" si="0"/>
        <v>8070627.1899999995</v>
      </c>
      <c r="X21" s="137">
        <f t="shared" si="0"/>
        <v>3570934.01</v>
      </c>
      <c r="Y21" s="137">
        <f t="shared" si="0"/>
        <v>1221246.05</v>
      </c>
      <c r="Z21" s="137">
        <f t="shared" si="0"/>
        <v>4313052.78</v>
      </c>
      <c r="AA21" s="137">
        <f t="shared" si="0"/>
        <v>6837332.4500000002</v>
      </c>
      <c r="AB21" s="137">
        <f t="shared" si="0"/>
        <v>3801987.73</v>
      </c>
      <c r="AC21" s="137">
        <f t="shared" si="0"/>
        <v>382520.72</v>
      </c>
      <c r="AD21" s="137">
        <f t="shared" si="0"/>
        <v>5158320.07</v>
      </c>
      <c r="AE21" s="137">
        <f t="shared" si="0"/>
        <v>15539252.220000001</v>
      </c>
      <c r="AF21" s="137">
        <f t="shared" si="0"/>
        <v>1622719.02</v>
      </c>
      <c r="AG21" s="137">
        <f t="shared" si="0"/>
        <v>726096.01</v>
      </c>
      <c r="AH21" s="137">
        <f t="shared" si="0"/>
        <v>16904412.780000001</v>
      </c>
      <c r="AI21" s="137">
        <f t="shared" si="0"/>
        <v>7843797.9399999995</v>
      </c>
      <c r="AJ21" s="137">
        <f t="shared" si="0"/>
        <v>12263659.08</v>
      </c>
      <c r="AK21" s="137">
        <f t="shared" si="0"/>
        <v>1401513.22</v>
      </c>
      <c r="AL21" s="137">
        <f t="shared" si="0"/>
        <v>8616546.5099999998</v>
      </c>
      <c r="AM21" s="137">
        <f t="shared" si="0"/>
        <v>4939829.34</v>
      </c>
      <c r="AN21" s="137">
        <f t="shared" si="0"/>
        <v>5017843.2699999996</v>
      </c>
      <c r="AO21" s="137">
        <f t="shared" si="0"/>
        <v>10146633.530000001</v>
      </c>
      <c r="AP21" s="137">
        <f t="shared" si="0"/>
        <v>5638389.4799999995</v>
      </c>
      <c r="AQ21" s="137">
        <f t="shared" si="0"/>
        <v>9390739.8100000005</v>
      </c>
      <c r="AR21" s="137">
        <f t="shared" si="0"/>
        <v>1628614.66</v>
      </c>
      <c r="AS21" s="137">
        <f t="shared" si="0"/>
        <v>15124197.27</v>
      </c>
      <c r="AT21" s="137">
        <f t="shared" si="0"/>
        <v>5728689.8200000003</v>
      </c>
      <c r="AU21" s="137">
        <f t="shared" si="0"/>
        <v>772969.42999999993</v>
      </c>
      <c r="AV21" s="137">
        <f t="shared" si="0"/>
        <v>1947668.93</v>
      </c>
      <c r="AW21" s="137">
        <f t="shared" si="0"/>
        <v>19230755.620000001</v>
      </c>
      <c r="AX21" s="137">
        <f t="shared" si="0"/>
        <v>3159146.96</v>
      </c>
      <c r="AY21" s="137">
        <f t="shared" si="0"/>
        <v>10495924.960000001</v>
      </c>
      <c r="AZ21" s="137">
        <f t="shared" si="0"/>
        <v>71272475.480000004</v>
      </c>
      <c r="BA21" s="137">
        <f t="shared" si="0"/>
        <v>4530485.67</v>
      </c>
      <c r="BB21" s="137">
        <f>SUM(C21:BA21)</f>
        <v>615713666.37000012</v>
      </c>
      <c r="BC21" s="137">
        <f>SUM(C21:U21)</f>
        <v>347960958.16000009</v>
      </c>
      <c r="BD21" s="137">
        <f>SUM(V21:AG21)</f>
        <v>51698414.450000003</v>
      </c>
      <c r="BE21" s="137">
        <f>SUM(AH21:BA21)</f>
        <v>216054293.75999996</v>
      </c>
    </row>
    <row r="22" spans="1:57" ht="15" x14ac:dyDescent="0.25">
      <c r="B22" s="85" t="s">
        <v>443</v>
      </c>
      <c r="C22" s="113">
        <f>C21/C6</f>
        <v>11598.647398543184</v>
      </c>
      <c r="D22" s="113">
        <f t="shared" ref="D22:BA22" si="1">D21/D6</f>
        <v>8695.3342911877389</v>
      </c>
      <c r="E22" s="113">
        <f t="shared" si="1"/>
        <v>10351.006376518219</v>
      </c>
      <c r="F22" s="113">
        <f t="shared" si="1"/>
        <v>9218.3868764044946</v>
      </c>
      <c r="G22" s="113">
        <f t="shared" si="1"/>
        <v>8217.8719280065452</v>
      </c>
      <c r="H22" s="113">
        <f t="shared" si="1"/>
        <v>6763.5162073027086</v>
      </c>
      <c r="I22" s="113">
        <f t="shared" si="1"/>
        <v>3663.0474522760646</v>
      </c>
      <c r="J22" s="113">
        <f t="shared" si="1"/>
        <v>13496.05750686867</v>
      </c>
      <c r="K22" s="113">
        <f t="shared" si="1"/>
        <v>5633.2926895043738</v>
      </c>
      <c r="L22" s="113">
        <f t="shared" si="1"/>
        <v>6106.6743589743592</v>
      </c>
      <c r="M22" s="113">
        <f t="shared" si="1"/>
        <v>6316.4306669383323</v>
      </c>
      <c r="N22" s="113">
        <f t="shared" si="1"/>
        <v>4930.5897943925238</v>
      </c>
      <c r="O22" s="113">
        <f t="shared" si="1"/>
        <v>4210.4838392857146</v>
      </c>
      <c r="P22" s="113">
        <f t="shared" si="1"/>
        <v>8261.0060714285719</v>
      </c>
      <c r="Q22" s="113">
        <f t="shared" si="1"/>
        <v>10927.839484240687</v>
      </c>
      <c r="R22" s="113">
        <f t="shared" si="1"/>
        <v>6584.1856753069569</v>
      </c>
      <c r="S22" s="113">
        <f t="shared" si="1"/>
        <v>4636.7179487179483</v>
      </c>
      <c r="T22" s="113">
        <f t="shared" si="1"/>
        <v>7643.7862180974489</v>
      </c>
      <c r="U22" s="113">
        <f t="shared" si="1"/>
        <v>4771.1954573263993</v>
      </c>
      <c r="V22" s="113">
        <f t="shared" si="1"/>
        <v>1489.5940983606558</v>
      </c>
      <c r="W22" s="113">
        <f t="shared" si="1"/>
        <v>6446.1878514376995</v>
      </c>
      <c r="X22" s="113">
        <f t="shared" si="1"/>
        <v>2174.7466565164432</v>
      </c>
      <c r="Y22" s="113">
        <f t="shared" si="1"/>
        <v>8196.2822147651004</v>
      </c>
      <c r="Z22" s="113">
        <f t="shared" si="1"/>
        <v>8456.9662352941177</v>
      </c>
      <c r="AA22" s="113">
        <f t="shared" si="1"/>
        <v>9630.0457042253529</v>
      </c>
      <c r="AB22" s="113">
        <f t="shared" si="1"/>
        <v>6717.2928091872791</v>
      </c>
      <c r="AC22" s="113">
        <f t="shared" si="1"/>
        <v>752.99354330708661</v>
      </c>
      <c r="AD22" s="113">
        <f t="shared" si="1"/>
        <v>2635.8303883495146</v>
      </c>
      <c r="AE22" s="113">
        <f t="shared" si="1"/>
        <v>6051.1106775700937</v>
      </c>
      <c r="AF22" s="113">
        <f t="shared" si="1"/>
        <v>6789.6193305439328</v>
      </c>
      <c r="AG22" s="113">
        <f t="shared" si="1"/>
        <v>5808.7680799999998</v>
      </c>
      <c r="AH22" s="113">
        <f t="shared" si="1"/>
        <v>8864.4010382800225</v>
      </c>
      <c r="AI22" s="113">
        <f t="shared" si="1"/>
        <v>6916.929400352733</v>
      </c>
      <c r="AJ22" s="113">
        <f t="shared" si="1"/>
        <v>10194.230324189526</v>
      </c>
      <c r="AK22" s="113">
        <f t="shared" si="1"/>
        <v>12513.510892857143</v>
      </c>
      <c r="AL22" s="113">
        <f t="shared" si="1"/>
        <v>7358.280538001708</v>
      </c>
      <c r="AM22" s="113">
        <f t="shared" si="1"/>
        <v>7541.7241832061063</v>
      </c>
      <c r="AN22" s="113">
        <f t="shared" si="1"/>
        <v>7952.2080348652926</v>
      </c>
      <c r="AO22" s="113">
        <f t="shared" si="1"/>
        <v>7841.2932998454417</v>
      </c>
      <c r="AP22" s="113">
        <f t="shared" si="1"/>
        <v>7820.2350624133142</v>
      </c>
      <c r="AQ22" s="113">
        <f t="shared" si="1"/>
        <v>8859.1885000000002</v>
      </c>
      <c r="AR22" s="113">
        <f t="shared" si="1"/>
        <v>5186.6708917197448</v>
      </c>
      <c r="AS22" s="113">
        <f t="shared" si="1"/>
        <v>6165.5920383204239</v>
      </c>
      <c r="AT22" s="113">
        <f t="shared" si="1"/>
        <v>7401.4080361757105</v>
      </c>
      <c r="AU22" s="113">
        <f t="shared" si="1"/>
        <v>2129.3923691460054</v>
      </c>
      <c r="AV22" s="113">
        <f t="shared" si="1"/>
        <v>5866.4726807228917</v>
      </c>
      <c r="AW22" s="113">
        <f t="shared" si="1"/>
        <v>11676.232920461445</v>
      </c>
      <c r="AX22" s="113">
        <f t="shared" si="1"/>
        <v>8291.7243044619427</v>
      </c>
      <c r="AY22" s="113">
        <f t="shared" si="1"/>
        <v>9929.9195458845807</v>
      </c>
      <c r="AZ22" s="113">
        <f t="shared" si="1"/>
        <v>10797.223978185124</v>
      </c>
      <c r="BA22" s="113">
        <f t="shared" si="1"/>
        <v>8282.4235283363796</v>
      </c>
      <c r="BB22" s="113">
        <f>BB21/BB6</f>
        <v>8259.2915486666334</v>
      </c>
      <c r="BC22" s="113">
        <f t="shared" ref="BC22:BE22" si="2">BC21/BC6</f>
        <v>8773.5995501765028</v>
      </c>
      <c r="BD22" s="113">
        <f t="shared" si="2"/>
        <v>4909.1647944164852</v>
      </c>
      <c r="BE22" s="113">
        <f t="shared" si="2"/>
        <v>8870.3162852568039</v>
      </c>
    </row>
    <row r="23" spans="1:57" ht="15" x14ac:dyDescent="0.25">
      <c r="B23" s="7"/>
      <c r="C23" s="82"/>
      <c r="D23" s="82"/>
      <c r="E23" s="82"/>
      <c r="F23" s="82"/>
      <c r="G23" s="82"/>
      <c r="H23" s="82"/>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row>
    <row r="24" spans="1:57" ht="15" x14ac:dyDescent="0.25">
      <c r="B24" s="136" t="s">
        <v>624</v>
      </c>
      <c r="C24" s="137">
        <f>C10-C8</f>
        <v>5290418.4899999984</v>
      </c>
      <c r="D24" s="137">
        <f t="shared" ref="D24:BA24" si="3">D10-D8</f>
        <v>1141874.9100000001</v>
      </c>
      <c r="E24" s="137">
        <f t="shared" si="3"/>
        <v>2106738.2499999995</v>
      </c>
      <c r="F24" s="137">
        <f t="shared" si="3"/>
        <v>-134688.73000000045</v>
      </c>
      <c r="G24" s="137">
        <f t="shared" si="3"/>
        <v>14712211.869999997</v>
      </c>
      <c r="H24" s="137">
        <f t="shared" si="3"/>
        <v>15893779.779999997</v>
      </c>
      <c r="I24" s="137">
        <f t="shared" si="3"/>
        <v>-643488.3599999994</v>
      </c>
      <c r="J24" s="137">
        <f t="shared" si="3"/>
        <v>110066288.14999999</v>
      </c>
      <c r="K24" s="137">
        <f t="shared" si="3"/>
        <v>4317931.2300000004</v>
      </c>
      <c r="L24" s="137">
        <f t="shared" si="3"/>
        <v>570673.89</v>
      </c>
      <c r="M24" s="137">
        <f t="shared" si="3"/>
        <v>30964330.889999993</v>
      </c>
      <c r="N24" s="137">
        <f t="shared" si="3"/>
        <v>888016.60999999987</v>
      </c>
      <c r="O24" s="137">
        <f t="shared" si="3"/>
        <v>11386.760000000009</v>
      </c>
      <c r="P24" s="137">
        <f t="shared" si="3"/>
        <v>1770576.3899999997</v>
      </c>
      <c r="Q24" s="137">
        <f t="shared" si="3"/>
        <v>1463169.71</v>
      </c>
      <c r="R24" s="137">
        <f t="shared" si="3"/>
        <v>-743512.45000000019</v>
      </c>
      <c r="S24" s="137">
        <f t="shared" si="3"/>
        <v>444901.06999999983</v>
      </c>
      <c r="T24" s="137">
        <f t="shared" si="3"/>
        <v>1713154.3600000003</v>
      </c>
      <c r="U24" s="137">
        <f t="shared" si="3"/>
        <v>10958343.489999998</v>
      </c>
      <c r="V24" s="137">
        <f t="shared" si="3"/>
        <v>-1203423.29</v>
      </c>
      <c r="W24" s="137">
        <f t="shared" si="3"/>
        <v>4654764.13</v>
      </c>
      <c r="X24" s="137">
        <f t="shared" si="3"/>
        <v>-18897615.359999999</v>
      </c>
      <c r="Y24" s="137">
        <f t="shared" si="3"/>
        <v>-311705.83000000031</v>
      </c>
      <c r="Z24" s="137">
        <f t="shared" si="3"/>
        <v>1602894.2400000002</v>
      </c>
      <c r="AA24" s="137">
        <f t="shared" si="3"/>
        <v>5212767.07</v>
      </c>
      <c r="AB24" s="137">
        <f t="shared" si="3"/>
        <v>2044065.0999999996</v>
      </c>
      <c r="AC24" s="137">
        <f t="shared" si="3"/>
        <v>-2310653.7200000007</v>
      </c>
      <c r="AD24" s="137">
        <f t="shared" si="3"/>
        <v>-2526301.2300000014</v>
      </c>
      <c r="AE24" s="137">
        <f t="shared" si="3"/>
        <v>5308249.0700000022</v>
      </c>
      <c r="AF24" s="137">
        <f t="shared" si="3"/>
        <v>-121150.15999999992</v>
      </c>
      <c r="AG24" s="137">
        <f t="shared" si="3"/>
        <v>-1098503.99</v>
      </c>
      <c r="AH24" s="137">
        <f t="shared" si="3"/>
        <v>10810326.440000001</v>
      </c>
      <c r="AI24" s="137">
        <f t="shared" si="3"/>
        <v>2588368.83</v>
      </c>
      <c r="AJ24" s="137">
        <f t="shared" si="3"/>
        <v>7182883.3799999999</v>
      </c>
      <c r="AK24" s="137">
        <f t="shared" si="3"/>
        <v>-74131.520000000019</v>
      </c>
      <c r="AL24" s="137">
        <f t="shared" si="3"/>
        <v>-7028953.0700000003</v>
      </c>
      <c r="AM24" s="137">
        <f t="shared" si="3"/>
        <v>2433910.9000000004</v>
      </c>
      <c r="AN24" s="137">
        <f t="shared" si="3"/>
        <v>2150490.7100000004</v>
      </c>
      <c r="AO24" s="137">
        <f t="shared" si="3"/>
        <v>-308776.70999999717</v>
      </c>
      <c r="AP24" s="137">
        <f t="shared" si="3"/>
        <v>3098658.07</v>
      </c>
      <c r="AQ24" s="137">
        <f t="shared" si="3"/>
        <v>5239680.2300000014</v>
      </c>
      <c r="AR24" s="137">
        <f t="shared" si="3"/>
        <v>-1100260.1800000002</v>
      </c>
      <c r="AS24" s="137">
        <f t="shared" si="3"/>
        <v>10479919.150000002</v>
      </c>
      <c r="AT24" s="137">
        <f t="shared" si="3"/>
        <v>2783262.1399999987</v>
      </c>
      <c r="AU24" s="137">
        <f t="shared" si="3"/>
        <v>-699037.84</v>
      </c>
      <c r="AV24" s="137">
        <f t="shared" si="3"/>
        <v>-245412.23000000045</v>
      </c>
      <c r="AW24" s="137">
        <f t="shared" si="3"/>
        <v>14921720.279999997</v>
      </c>
      <c r="AX24" s="137">
        <f t="shared" si="3"/>
        <v>216705.85999999987</v>
      </c>
      <c r="AY24" s="137">
        <f t="shared" si="3"/>
        <v>5601501.8699999992</v>
      </c>
      <c r="AZ24" s="137">
        <f t="shared" si="3"/>
        <v>45923400.93</v>
      </c>
      <c r="BA24" s="137">
        <f t="shared" si="3"/>
        <v>2083214.2999999998</v>
      </c>
      <c r="BB24" s="137">
        <f>SUM(C24:BA24)</f>
        <v>299202963.87999994</v>
      </c>
      <c r="BC24" s="137">
        <f>SUM(C24:U24)</f>
        <v>200792106.30999997</v>
      </c>
      <c r="BD24" s="137">
        <f>SUM(V24:AG24)</f>
        <v>-7646613.9699999988</v>
      </c>
      <c r="BE24" s="137">
        <f>SUM(AH24:BA24)</f>
        <v>106057471.53999999</v>
      </c>
    </row>
    <row r="25" spans="1:57" ht="15" x14ac:dyDescent="0.25">
      <c r="B25" s="85" t="s">
        <v>443</v>
      </c>
      <c r="C25" s="113">
        <f>C24/C6</f>
        <v>5505.1180957336092</v>
      </c>
      <c r="D25" s="113">
        <f t="shared" ref="D25:BE25" si="4">D24/D6</f>
        <v>4374.9996551724144</v>
      </c>
      <c r="E25" s="113">
        <f t="shared" si="4"/>
        <v>4264.6523279352214</v>
      </c>
      <c r="F25" s="113">
        <f t="shared" si="4"/>
        <v>-302.67130337078754</v>
      </c>
      <c r="G25" s="113">
        <f t="shared" si="4"/>
        <v>4012.0566866648478</v>
      </c>
      <c r="H25" s="113">
        <f t="shared" si="4"/>
        <v>4680.1471672555945</v>
      </c>
      <c r="I25" s="113">
        <f t="shared" si="4"/>
        <v>-236.22920704845794</v>
      </c>
      <c r="J25" s="113">
        <f t="shared" si="4"/>
        <v>8640.104258576026</v>
      </c>
      <c r="K25" s="113">
        <f t="shared" si="4"/>
        <v>3147.1801967930032</v>
      </c>
      <c r="L25" s="113">
        <f t="shared" si="4"/>
        <v>4877.5546153846153</v>
      </c>
      <c r="M25" s="113">
        <f t="shared" si="4"/>
        <v>4205.967249388752</v>
      </c>
      <c r="N25" s="113">
        <f t="shared" si="4"/>
        <v>1659.8441308411213</v>
      </c>
      <c r="O25" s="113">
        <f t="shared" si="4"/>
        <v>101.66750000000009</v>
      </c>
      <c r="P25" s="113">
        <f t="shared" si="4"/>
        <v>4215.658071428571</v>
      </c>
      <c r="Q25" s="113">
        <f t="shared" si="4"/>
        <v>4192.4633524355304</v>
      </c>
      <c r="R25" s="113">
        <f t="shared" si="4"/>
        <v>-1014.341678035471</v>
      </c>
      <c r="S25" s="113">
        <f t="shared" si="4"/>
        <v>1629.6742490842485</v>
      </c>
      <c r="T25" s="113">
        <f t="shared" si="4"/>
        <v>3974.836102088168</v>
      </c>
      <c r="U25" s="113">
        <f t="shared" si="4"/>
        <v>3352.2005169776685</v>
      </c>
      <c r="V25" s="113">
        <f t="shared" si="4"/>
        <v>-3945.6501311475413</v>
      </c>
      <c r="W25" s="113">
        <f t="shared" si="4"/>
        <v>3717.8627236421726</v>
      </c>
      <c r="X25" s="113">
        <f t="shared" si="4"/>
        <v>-11508.900950060901</v>
      </c>
      <c r="Y25" s="113">
        <f t="shared" si="4"/>
        <v>-2091.9854362416127</v>
      </c>
      <c r="Z25" s="113">
        <f t="shared" si="4"/>
        <v>3142.9298823529416</v>
      </c>
      <c r="AA25" s="113">
        <f t="shared" si="4"/>
        <v>7341.925450704226</v>
      </c>
      <c r="AB25" s="113">
        <f t="shared" si="4"/>
        <v>3611.4224381625436</v>
      </c>
      <c r="AC25" s="113">
        <f t="shared" si="4"/>
        <v>-4548.5309448818907</v>
      </c>
      <c r="AD25" s="113">
        <f t="shared" si="4"/>
        <v>-1290.9050740930002</v>
      </c>
      <c r="AE25" s="113">
        <f t="shared" si="4"/>
        <v>2067.0751830218078</v>
      </c>
      <c r="AF25" s="113">
        <f t="shared" si="4"/>
        <v>-506.90443514644318</v>
      </c>
      <c r="AG25" s="113">
        <f t="shared" si="4"/>
        <v>-8788.0319199999994</v>
      </c>
      <c r="AH25" s="113">
        <f t="shared" si="4"/>
        <v>5668.7605873099119</v>
      </c>
      <c r="AI25" s="113">
        <f t="shared" si="4"/>
        <v>2282.5121957671959</v>
      </c>
      <c r="AJ25" s="113">
        <f t="shared" si="4"/>
        <v>5970.8091271820449</v>
      </c>
      <c r="AK25" s="113">
        <f t="shared" si="4"/>
        <v>-661.88857142857159</v>
      </c>
      <c r="AL25" s="113">
        <f t="shared" si="4"/>
        <v>-6002.5218360375748</v>
      </c>
      <c r="AM25" s="113">
        <f t="shared" si="4"/>
        <v>3715.8945038167944</v>
      </c>
      <c r="AN25" s="113">
        <f t="shared" si="4"/>
        <v>3408.0676862123619</v>
      </c>
      <c r="AO25" s="113">
        <f t="shared" si="4"/>
        <v>-238.62187789798853</v>
      </c>
      <c r="AP25" s="113">
        <f t="shared" si="4"/>
        <v>4297.722704576976</v>
      </c>
      <c r="AQ25" s="113">
        <f t="shared" si="4"/>
        <v>4943.0945566037744</v>
      </c>
      <c r="AR25" s="113">
        <f t="shared" si="4"/>
        <v>-3504.0133121019112</v>
      </c>
      <c r="AS25" s="113">
        <f t="shared" si="4"/>
        <v>4272.2866490012239</v>
      </c>
      <c r="AT25" s="113">
        <f t="shared" si="4"/>
        <v>3595.9459173126597</v>
      </c>
      <c r="AU25" s="113">
        <f t="shared" si="4"/>
        <v>-1925.7240771349861</v>
      </c>
      <c r="AV25" s="113">
        <f t="shared" si="4"/>
        <v>-739.19346385542303</v>
      </c>
      <c r="AW25" s="113">
        <f t="shared" si="4"/>
        <v>9059.9394535519114</v>
      </c>
      <c r="AX25" s="113">
        <f t="shared" si="4"/>
        <v>568.78178477690255</v>
      </c>
      <c r="AY25" s="113">
        <f t="shared" si="4"/>
        <v>5299.43412488174</v>
      </c>
      <c r="AZ25" s="113">
        <f t="shared" si="4"/>
        <v>6957.0369534918955</v>
      </c>
      <c r="BA25" s="113">
        <f t="shared" si="4"/>
        <v>3808.4356489945153</v>
      </c>
      <c r="BB25" s="113">
        <f t="shared" si="4"/>
        <v>4013.5612475183766</v>
      </c>
      <c r="BC25" s="113">
        <f t="shared" si="4"/>
        <v>5062.8367702975283</v>
      </c>
      <c r="BD25" s="113">
        <f t="shared" si="4"/>
        <v>-726.10521033140242</v>
      </c>
      <c r="BE25" s="113">
        <f t="shared" si="4"/>
        <v>4354.2912320893374</v>
      </c>
    </row>
    <row r="26" spans="1:57"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row>
    <row r="27" spans="1:57"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row>
    <row r="28" spans="1:57"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row>
    <row r="29" spans="1:57"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row>
    <row r="30" spans="1:57"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row>
    <row r="31" spans="1:57"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row>
    <row r="32" spans="1:57"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row>
    <row r="33" spans="3:57"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row>
    <row r="34" spans="3:57"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row>
    <row r="35" spans="3:57"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row>
    <row r="36" spans="3:57"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row>
    <row r="37" spans="3:57"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row>
    <row r="38" spans="3:57"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row>
    <row r="39" spans="3:57"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row>
    <row r="40" spans="3:57"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3"/>
  <sheetViews>
    <sheetView workbookViewId="0">
      <selection activeCell="A3" sqref="A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0" t="s">
        <v>66</v>
      </c>
      <c r="B2" s="30" t="s">
        <v>769</v>
      </c>
      <c r="C2" s="30" t="s">
        <v>771</v>
      </c>
      <c r="D2" s="30" t="s">
        <v>770</v>
      </c>
      <c r="E2" s="30" t="s">
        <v>772</v>
      </c>
    </row>
    <row r="3" spans="1:5" x14ac:dyDescent="0.2">
      <c r="A3" s="90" t="s">
        <v>55</v>
      </c>
      <c r="B3" s="13">
        <f>'5.4 Tableau de l''endettement'!C21</f>
        <v>11146300.15</v>
      </c>
      <c r="C3" s="13">
        <f>'5.4 Tableau de l''endettement'!C22</f>
        <v>11598.647398543184</v>
      </c>
      <c r="D3" s="13">
        <f>'5.4 Tableau de l''endettement'!C24</f>
        <v>5290418.4899999984</v>
      </c>
      <c r="E3" s="13">
        <f>'5.4 Tableau de l''endettement'!C25</f>
        <v>5505.1180957336092</v>
      </c>
    </row>
    <row r="4" spans="1:5" x14ac:dyDescent="0.2">
      <c r="A4" s="90" t="s">
        <v>17</v>
      </c>
      <c r="B4" s="13">
        <f>'5.4 Tableau de l''endettement'!D21</f>
        <v>2269482.25</v>
      </c>
      <c r="C4" s="13">
        <f>'5.4 Tableau de l''endettement'!D22</f>
        <v>8695.3342911877389</v>
      </c>
      <c r="D4" s="13">
        <f>'5.4 Tableau de l''endettement'!D24</f>
        <v>1141874.9100000001</v>
      </c>
      <c r="E4" s="13">
        <f>'5.4 Tableau de l''endettement'!D25</f>
        <v>4374.9996551724144</v>
      </c>
    </row>
    <row r="5" spans="1:5" x14ac:dyDescent="0.2">
      <c r="A5" s="90" t="s">
        <v>56</v>
      </c>
      <c r="B5" s="13">
        <f>'5.4 Tableau de l''endettement'!E21</f>
        <v>5113397.1500000004</v>
      </c>
      <c r="C5" s="13">
        <f>'5.4 Tableau de l''endettement'!E22</f>
        <v>10351.006376518219</v>
      </c>
      <c r="D5" s="13">
        <f>'5.4 Tableau de l''endettement'!E24</f>
        <v>2106738.2499999995</v>
      </c>
      <c r="E5" s="13">
        <f>'5.4 Tableau de l''endettement'!E25</f>
        <v>4264.6523279352214</v>
      </c>
    </row>
    <row r="6" spans="1:5" x14ac:dyDescent="0.2">
      <c r="A6" s="90" t="s">
        <v>52</v>
      </c>
      <c r="B6" s="13">
        <f>'5.4 Tableau de l''endettement'!F21</f>
        <v>4102182.16</v>
      </c>
      <c r="C6" s="13">
        <f>'5.4 Tableau de l''endettement'!F22</f>
        <v>9218.3868764044946</v>
      </c>
      <c r="D6" s="13">
        <f>'5.4 Tableau de l''endettement'!F24</f>
        <v>-134688.73000000045</v>
      </c>
      <c r="E6" s="13">
        <f>'5.4 Tableau de l''endettement'!F25</f>
        <v>-302.67130337078754</v>
      </c>
    </row>
    <row r="7" spans="1:5" x14ac:dyDescent="0.2">
      <c r="A7" s="90" t="s">
        <v>32</v>
      </c>
      <c r="B7" s="13">
        <f>'5.4 Tableau de l''endettement'!G21</f>
        <v>30134936.359999999</v>
      </c>
      <c r="C7" s="13">
        <f>'5.4 Tableau de l''endettement'!G22</f>
        <v>8217.8719280065452</v>
      </c>
      <c r="D7" s="13">
        <f>'5.4 Tableau de l''endettement'!G24</f>
        <v>14712211.869999997</v>
      </c>
      <c r="E7" s="13">
        <f>'5.4 Tableau de l''endettement'!G25</f>
        <v>4012.0566866648478</v>
      </c>
    </row>
    <row r="8" spans="1:5" x14ac:dyDescent="0.2">
      <c r="A8" s="90" t="s">
        <v>10</v>
      </c>
      <c r="B8" s="13">
        <f>'5.4 Tableau de l''endettement'!H21</f>
        <v>22968901.039999999</v>
      </c>
      <c r="C8" s="13">
        <f>'5.4 Tableau de l''endettement'!H22</f>
        <v>6763.5162073027086</v>
      </c>
      <c r="D8" s="13">
        <f>'5.4 Tableau de l''endettement'!H24</f>
        <v>15893779.779999997</v>
      </c>
      <c r="E8" s="13">
        <f>'5.4 Tableau de l''endettement'!H25</f>
        <v>4680.1471672555945</v>
      </c>
    </row>
    <row r="9" spans="1:5" x14ac:dyDescent="0.2">
      <c r="A9" s="90" t="s">
        <v>14</v>
      </c>
      <c r="B9" s="13">
        <f>'5.4 Tableau de l''endettement'!I21</f>
        <v>9978141.2599999998</v>
      </c>
      <c r="C9" s="13">
        <f>'5.4 Tableau de l''endettement'!I22</f>
        <v>3663.0474522760646</v>
      </c>
      <c r="D9" s="13">
        <f>'5.4 Tableau de l''endettement'!I24</f>
        <v>-643488.3599999994</v>
      </c>
      <c r="E9" s="13">
        <f>'5.4 Tableau de l''endettement'!I25</f>
        <v>-236.22920704845794</v>
      </c>
    </row>
    <row r="10" spans="1:5" x14ac:dyDescent="0.2">
      <c r="A10" s="90" t="s">
        <v>27</v>
      </c>
      <c r="B10" s="13">
        <f>'5.4 Tableau de l''endettement'!J21</f>
        <v>171926276.57999998</v>
      </c>
      <c r="C10" s="13">
        <f>'5.4 Tableau de l''endettement'!J22</f>
        <v>13496.05750686867</v>
      </c>
      <c r="D10" s="13">
        <f>'5.4 Tableau de l''endettement'!J24</f>
        <v>110066288.14999999</v>
      </c>
      <c r="E10" s="13">
        <f>'5.4 Tableau de l''endettement'!J25</f>
        <v>8640.104258576026</v>
      </c>
    </row>
    <row r="11" spans="1:5" x14ac:dyDescent="0.2">
      <c r="A11" s="90" t="s">
        <v>41</v>
      </c>
      <c r="B11" s="13">
        <f>'5.4 Tableau de l''endettement'!K21</f>
        <v>7728877.5700000003</v>
      </c>
      <c r="C11" s="13">
        <f>'5.4 Tableau de l''endettement'!K22</f>
        <v>5633.2926895043738</v>
      </c>
      <c r="D11" s="13">
        <f>'5.4 Tableau de l''endettement'!K24</f>
        <v>4317931.2300000004</v>
      </c>
      <c r="E11" s="13">
        <f>'5.4 Tableau de l''endettement'!K25</f>
        <v>3147.1801967930032</v>
      </c>
    </row>
    <row r="12" spans="1:5" x14ac:dyDescent="0.2">
      <c r="A12" s="90" t="s">
        <v>22</v>
      </c>
      <c r="B12" s="13">
        <f>'5.4 Tableau de l''endettement'!L21</f>
        <v>714480.9</v>
      </c>
      <c r="C12" s="13">
        <f>'5.4 Tableau de l''endettement'!L22</f>
        <v>6106.6743589743592</v>
      </c>
      <c r="D12" s="13">
        <f>'5.4 Tableau de l''endettement'!L24</f>
        <v>570673.89</v>
      </c>
      <c r="E12" s="13">
        <f>'5.4 Tableau de l''endettement'!L25</f>
        <v>4877.5546153846153</v>
      </c>
    </row>
    <row r="13" spans="1:5" x14ac:dyDescent="0.2">
      <c r="A13" s="90" t="s">
        <v>21</v>
      </c>
      <c r="B13" s="13">
        <f>'5.4 Tableau de l''endettement'!M21</f>
        <v>46501562.57</v>
      </c>
      <c r="C13" s="13">
        <f>'5.4 Tableau de l''endettement'!M22</f>
        <v>6316.4306669383323</v>
      </c>
      <c r="D13" s="13">
        <f>'5.4 Tableau de l''endettement'!M24</f>
        <v>30964330.889999993</v>
      </c>
      <c r="E13" s="13">
        <f>'5.4 Tableau de l''endettement'!M25</f>
        <v>4205.967249388752</v>
      </c>
    </row>
    <row r="14" spans="1:5" x14ac:dyDescent="0.2">
      <c r="A14" s="90" t="s">
        <v>12</v>
      </c>
      <c r="B14" s="13">
        <f>'5.4 Tableau de l''endettement'!N21</f>
        <v>2637865.54</v>
      </c>
      <c r="C14" s="13">
        <f>'5.4 Tableau de l''endettement'!N22</f>
        <v>4930.5897943925238</v>
      </c>
      <c r="D14" s="13">
        <f>'5.4 Tableau de l''endettement'!N24</f>
        <v>888016.60999999987</v>
      </c>
      <c r="E14" s="13">
        <f>'5.4 Tableau de l''endettement'!N25</f>
        <v>1659.8441308411213</v>
      </c>
    </row>
    <row r="15" spans="1:5" x14ac:dyDescent="0.2">
      <c r="A15" s="90" t="s">
        <v>16</v>
      </c>
      <c r="B15" s="13">
        <f>'5.4 Tableau de l''endettement'!O21</f>
        <v>471574.19</v>
      </c>
      <c r="C15" s="13">
        <f>'5.4 Tableau de l''endettement'!O22</f>
        <v>4210.4838392857146</v>
      </c>
      <c r="D15" s="13">
        <f>'5.4 Tableau de l''endettement'!O24</f>
        <v>11386.760000000009</v>
      </c>
      <c r="E15" s="13">
        <f>'5.4 Tableau de l''endettement'!O25</f>
        <v>101.66750000000009</v>
      </c>
    </row>
    <row r="16" spans="1:5" x14ac:dyDescent="0.2">
      <c r="A16" s="90" t="s">
        <v>42</v>
      </c>
      <c r="B16" s="13">
        <f>'5.4 Tableau de l''endettement'!P21</f>
        <v>3469622.55</v>
      </c>
      <c r="C16" s="13">
        <f>'5.4 Tableau de l''endettement'!P22</f>
        <v>8261.0060714285719</v>
      </c>
      <c r="D16" s="13">
        <f>'5.4 Tableau de l''endettement'!P24</f>
        <v>1770576.3899999997</v>
      </c>
      <c r="E16" s="13">
        <f>'5.4 Tableau de l''endettement'!P25</f>
        <v>4215.658071428571</v>
      </c>
    </row>
    <row r="17" spans="1:5" x14ac:dyDescent="0.2">
      <c r="A17" s="90" t="s">
        <v>39</v>
      </c>
      <c r="B17" s="13">
        <f>'5.4 Tableau de l''endettement'!Q21</f>
        <v>3813815.98</v>
      </c>
      <c r="C17" s="13">
        <f>'5.4 Tableau de l''endettement'!Q22</f>
        <v>10927.839484240687</v>
      </c>
      <c r="D17" s="13">
        <f>'5.4 Tableau de l''endettement'!Q24</f>
        <v>1463169.71</v>
      </c>
      <c r="E17" s="13">
        <f>'5.4 Tableau de l''endettement'!Q25</f>
        <v>4192.4633524355304</v>
      </c>
    </row>
    <row r="18" spans="1:5" x14ac:dyDescent="0.2">
      <c r="A18" s="90" t="s">
        <v>30</v>
      </c>
      <c r="B18" s="13">
        <f>'5.4 Tableau de l''endettement'!R21</f>
        <v>4826208.0999999996</v>
      </c>
      <c r="C18" s="13">
        <f>'5.4 Tableau de l''endettement'!R22</f>
        <v>6584.1856753069569</v>
      </c>
      <c r="D18" s="13">
        <f>'5.4 Tableau de l''endettement'!R24</f>
        <v>-743512.45000000019</v>
      </c>
      <c r="E18" s="13">
        <f>'5.4 Tableau de l''endettement'!R25</f>
        <v>-1014.341678035471</v>
      </c>
    </row>
    <row r="19" spans="1:5" x14ac:dyDescent="0.2">
      <c r="A19" s="90" t="s">
        <v>11</v>
      </c>
      <c r="B19" s="13">
        <f>'5.4 Tableau de l''endettement'!S21</f>
        <v>1265824</v>
      </c>
      <c r="C19" s="13">
        <f>'5.4 Tableau de l''endettement'!S22</f>
        <v>4636.7179487179483</v>
      </c>
      <c r="D19" s="13">
        <f>'5.4 Tableau de l''endettement'!S24</f>
        <v>444901.06999999983</v>
      </c>
      <c r="E19" s="13">
        <f>'5.4 Tableau de l''endettement'!S25</f>
        <v>1629.6742490842485</v>
      </c>
    </row>
    <row r="20" spans="1:5" x14ac:dyDescent="0.2">
      <c r="A20" s="90" t="s">
        <v>58</v>
      </c>
      <c r="B20" s="13">
        <f>'5.4 Tableau de l''endettement'!T21</f>
        <v>3294471.8600000003</v>
      </c>
      <c r="C20" s="13">
        <f>'5.4 Tableau de l''endettement'!T22</f>
        <v>7643.7862180974489</v>
      </c>
      <c r="D20" s="13">
        <f>'5.4 Tableau de l''endettement'!T24</f>
        <v>1713154.3600000003</v>
      </c>
      <c r="E20" s="13">
        <f>'5.4 Tableau de l''endettement'!T25</f>
        <v>3974.836102088168</v>
      </c>
    </row>
    <row r="21" spans="1:5" x14ac:dyDescent="0.2">
      <c r="A21" s="90" t="s">
        <v>26</v>
      </c>
      <c r="B21" s="13">
        <f>'5.4 Tableau de l''endettement'!U21</f>
        <v>15597037.949999999</v>
      </c>
      <c r="C21" s="13">
        <f>'5.4 Tableau de l''endettement'!U22</f>
        <v>4771.1954573263993</v>
      </c>
      <c r="D21" s="13">
        <f>'5.4 Tableau de l''endettement'!U24</f>
        <v>10958343.489999998</v>
      </c>
      <c r="E21" s="13">
        <f>'5.4 Tableau de l''endettement'!U25</f>
        <v>3352.2005169776685</v>
      </c>
    </row>
    <row r="22" spans="1:5" x14ac:dyDescent="0.2">
      <c r="A22" s="90" t="s">
        <v>29</v>
      </c>
      <c r="B22" s="13">
        <f>'5.4 Tableau de l''endettement'!V21</f>
        <v>454326.2</v>
      </c>
      <c r="C22" s="13">
        <f>'5.4 Tableau de l''endettement'!V22</f>
        <v>1489.5940983606558</v>
      </c>
      <c r="D22" s="13">
        <f>'5.4 Tableau de l''endettement'!V24</f>
        <v>-1203423.29</v>
      </c>
      <c r="E22" s="13">
        <f>'5.4 Tableau de l''endettement'!V25</f>
        <v>-3945.6501311475413</v>
      </c>
    </row>
    <row r="23" spans="1:5" x14ac:dyDescent="0.2">
      <c r="A23" s="90" t="s">
        <v>19</v>
      </c>
      <c r="B23" s="13">
        <f>'5.4 Tableau de l''endettement'!W21</f>
        <v>8070627.1899999995</v>
      </c>
      <c r="C23" s="13">
        <f>'5.4 Tableau de l''endettement'!W22</f>
        <v>6446.1878514376995</v>
      </c>
      <c r="D23" s="13">
        <f>'5.4 Tableau de l''endettement'!W24</f>
        <v>4654764.13</v>
      </c>
      <c r="E23" s="13">
        <f>'5.4 Tableau de l''endettement'!W25</f>
        <v>3717.8627236421726</v>
      </c>
    </row>
    <row r="24" spans="1:5" x14ac:dyDescent="0.2">
      <c r="A24" s="90" t="s">
        <v>44</v>
      </c>
      <c r="B24" s="13">
        <f>'5.4 Tableau de l''endettement'!X21</f>
        <v>3570934.01</v>
      </c>
      <c r="C24" s="13">
        <f>'5.4 Tableau de l''endettement'!X22</f>
        <v>2174.7466565164432</v>
      </c>
      <c r="D24" s="13">
        <f>'5.4 Tableau de l''endettement'!X24</f>
        <v>-18897615.359999999</v>
      </c>
      <c r="E24" s="13">
        <f>'5.4 Tableau de l''endettement'!X25</f>
        <v>-11508.900950060901</v>
      </c>
    </row>
    <row r="25" spans="1:5" x14ac:dyDescent="0.2">
      <c r="A25" s="90" t="s">
        <v>38</v>
      </c>
      <c r="B25" s="13">
        <f>'5.4 Tableau de l''endettement'!Y21</f>
        <v>1221246.05</v>
      </c>
      <c r="C25" s="13">
        <f>'5.4 Tableau de l''endettement'!Y22</f>
        <v>8196.2822147651004</v>
      </c>
      <c r="D25" s="13">
        <f>'5.4 Tableau de l''endettement'!Y24</f>
        <v>-311705.83000000031</v>
      </c>
      <c r="E25" s="13">
        <f>'5.4 Tableau de l''endettement'!Y25</f>
        <v>-2091.9854362416127</v>
      </c>
    </row>
    <row r="26" spans="1:5" x14ac:dyDescent="0.2">
      <c r="A26" s="90" t="s">
        <v>18</v>
      </c>
      <c r="B26" s="13">
        <f>'5.4 Tableau de l''endettement'!Z21</f>
        <v>4313052.78</v>
      </c>
      <c r="C26" s="13">
        <f>'5.4 Tableau de l''endettement'!Z22</f>
        <v>8456.9662352941177</v>
      </c>
      <c r="D26" s="13">
        <f>'5.4 Tableau de l''endettement'!Z24</f>
        <v>1602894.2400000002</v>
      </c>
      <c r="E26" s="13">
        <f>'5.4 Tableau de l''endettement'!Z25</f>
        <v>3142.9298823529416</v>
      </c>
    </row>
    <row r="27" spans="1:5" x14ac:dyDescent="0.2">
      <c r="A27" s="90" t="s">
        <v>40</v>
      </c>
      <c r="B27" s="13">
        <f>'5.4 Tableau de l''endettement'!AA21</f>
        <v>6837332.4500000002</v>
      </c>
      <c r="C27" s="13">
        <f>'5.4 Tableau de l''endettement'!AA22</f>
        <v>9630.0457042253529</v>
      </c>
      <c r="D27" s="13">
        <f>'5.4 Tableau de l''endettement'!AA24</f>
        <v>5212767.07</v>
      </c>
      <c r="E27" s="13">
        <f>'5.4 Tableau de l''endettement'!AA25</f>
        <v>7341.925450704226</v>
      </c>
    </row>
    <row r="28" spans="1:5" x14ac:dyDescent="0.2">
      <c r="A28" s="90" t="s">
        <v>35</v>
      </c>
      <c r="B28" s="13">
        <f>'5.4 Tableau de l''endettement'!AB21</f>
        <v>3801987.73</v>
      </c>
      <c r="C28" s="13">
        <f>'5.4 Tableau de l''endettement'!AB22</f>
        <v>6717.2928091872791</v>
      </c>
      <c r="D28" s="13">
        <f>'5.4 Tableau de l''endettement'!AB24</f>
        <v>2044065.0999999996</v>
      </c>
      <c r="E28" s="13">
        <f>'5.4 Tableau de l''endettement'!AB25</f>
        <v>3611.4224381625436</v>
      </c>
    </row>
    <row r="29" spans="1:5" x14ac:dyDescent="0.2">
      <c r="A29" s="90" t="s">
        <v>7</v>
      </c>
      <c r="B29" s="13">
        <f>'5.4 Tableau de l''endettement'!AC21</f>
        <v>382520.72</v>
      </c>
      <c r="C29" s="13">
        <f>'5.4 Tableau de l''endettement'!AC22</f>
        <v>752.99354330708661</v>
      </c>
      <c r="D29" s="13">
        <f>'5.4 Tableau de l''endettement'!AC24</f>
        <v>-2310653.7200000007</v>
      </c>
      <c r="E29" s="13">
        <f>'5.4 Tableau de l''endettement'!AC25</f>
        <v>-4548.5309448818907</v>
      </c>
    </row>
    <row r="30" spans="1:5" x14ac:dyDescent="0.2">
      <c r="A30" s="90" t="s">
        <v>54</v>
      </c>
      <c r="B30" s="13">
        <f>'5.4 Tableau de l''endettement'!AD21</f>
        <v>5158320.07</v>
      </c>
      <c r="C30" s="13">
        <f>'5.4 Tableau de l''endettement'!AD22</f>
        <v>2635.8303883495146</v>
      </c>
      <c r="D30" s="13">
        <f>'5.4 Tableau de l''endettement'!AD24</f>
        <v>-2526301.2300000014</v>
      </c>
      <c r="E30" s="13">
        <f>'5.4 Tableau de l''endettement'!AD25</f>
        <v>-1290.9050740930002</v>
      </c>
    </row>
    <row r="31" spans="1:5" x14ac:dyDescent="0.2">
      <c r="A31" s="90" t="s">
        <v>20</v>
      </c>
      <c r="B31" s="13">
        <f>'5.4 Tableau de l''endettement'!AE21</f>
        <v>15539252.220000001</v>
      </c>
      <c r="C31" s="13">
        <f>'5.4 Tableau de l''endettement'!AE22</f>
        <v>6051.1106775700937</v>
      </c>
      <c r="D31" s="13">
        <f>'5.4 Tableau de l''endettement'!AE24</f>
        <v>5308249.0700000022</v>
      </c>
      <c r="E31" s="13">
        <f>'5.4 Tableau de l''endettement'!AE25</f>
        <v>2067.0751830218078</v>
      </c>
    </row>
    <row r="32" spans="1:5" x14ac:dyDescent="0.2">
      <c r="A32" s="90" t="s">
        <v>6</v>
      </c>
      <c r="B32" s="13">
        <f>'5.4 Tableau de l''endettement'!AF21</f>
        <v>1622719.02</v>
      </c>
      <c r="C32" s="13">
        <f>'5.4 Tableau de l''endettement'!AF22</f>
        <v>6789.6193305439328</v>
      </c>
      <c r="D32" s="13">
        <f>'5.4 Tableau de l''endettement'!AF24</f>
        <v>-121150.15999999992</v>
      </c>
      <c r="E32" s="13">
        <f>'5.4 Tableau de l''endettement'!AF25</f>
        <v>-506.90443514644318</v>
      </c>
    </row>
    <row r="33" spans="1:5" x14ac:dyDescent="0.2">
      <c r="A33" s="90" t="s">
        <v>33</v>
      </c>
      <c r="B33" s="13">
        <f>'5.4 Tableau de l''endettement'!AG21</f>
        <v>726096.01</v>
      </c>
      <c r="C33" s="13">
        <f>'5.4 Tableau de l''endettement'!AG22</f>
        <v>5808.7680799999998</v>
      </c>
      <c r="D33" s="13">
        <f>'5.4 Tableau de l''endettement'!AG24</f>
        <v>-1098503.99</v>
      </c>
      <c r="E33" s="13">
        <f>'5.4 Tableau de l''endettement'!AG25</f>
        <v>-8788.0319199999994</v>
      </c>
    </row>
    <row r="34" spans="1:5" x14ac:dyDescent="0.2">
      <c r="A34" s="90" t="s">
        <v>51</v>
      </c>
      <c r="B34" s="13">
        <f>'5.4 Tableau de l''endettement'!AH21</f>
        <v>16904412.780000001</v>
      </c>
      <c r="C34" s="13">
        <f>'5.4 Tableau de l''endettement'!AH22</f>
        <v>8864.4010382800225</v>
      </c>
      <c r="D34" s="13">
        <f>'5.4 Tableau de l''endettement'!AH24</f>
        <v>10810326.440000001</v>
      </c>
      <c r="E34" s="13">
        <f>'5.4 Tableau de l''endettement'!AH25</f>
        <v>5668.7605873099119</v>
      </c>
    </row>
    <row r="35" spans="1:5" x14ac:dyDescent="0.2">
      <c r="A35" s="90" t="s">
        <v>13</v>
      </c>
      <c r="B35" s="13">
        <f>'5.4 Tableau de l''endettement'!AI21</f>
        <v>7843797.9399999995</v>
      </c>
      <c r="C35" s="13">
        <f>'5.4 Tableau de l''endettement'!AI22</f>
        <v>6916.929400352733</v>
      </c>
      <c r="D35" s="13">
        <f>'5.4 Tableau de l''endettement'!AI24</f>
        <v>2588368.83</v>
      </c>
      <c r="E35" s="13">
        <f>'5.4 Tableau de l''endettement'!AI25</f>
        <v>2282.5121957671959</v>
      </c>
    </row>
    <row r="36" spans="1:5" x14ac:dyDescent="0.2">
      <c r="A36" s="90" t="s">
        <v>31</v>
      </c>
      <c r="B36" s="13">
        <f>'5.4 Tableau de l''endettement'!AJ21</f>
        <v>12263659.08</v>
      </c>
      <c r="C36" s="13">
        <f>'5.4 Tableau de l''endettement'!AJ22</f>
        <v>10194.230324189526</v>
      </c>
      <c r="D36" s="13">
        <f>'5.4 Tableau de l''endettement'!AJ24</f>
        <v>7182883.3799999999</v>
      </c>
      <c r="E36" s="13">
        <f>'5.4 Tableau de l''endettement'!AJ25</f>
        <v>5970.8091271820449</v>
      </c>
    </row>
    <row r="37" spans="1:5" x14ac:dyDescent="0.2">
      <c r="A37" s="90" t="s">
        <v>28</v>
      </c>
      <c r="B37" s="13">
        <f>'5.4 Tableau de l''endettement'!AK21</f>
        <v>1401513.22</v>
      </c>
      <c r="C37" s="13">
        <f>'5.4 Tableau de l''endettement'!AK22</f>
        <v>12513.510892857143</v>
      </c>
      <c r="D37" s="13">
        <f>'5.4 Tableau de l''endettement'!AK24</f>
        <v>-74131.520000000019</v>
      </c>
      <c r="E37" s="13">
        <f>'5.4 Tableau de l''endettement'!AK25</f>
        <v>-661.88857142857159</v>
      </c>
    </row>
    <row r="38" spans="1:5" x14ac:dyDescent="0.2">
      <c r="A38" s="90" t="s">
        <v>25</v>
      </c>
      <c r="B38" s="13">
        <f>'5.4 Tableau de l''endettement'!AL21</f>
        <v>8616546.5099999998</v>
      </c>
      <c r="C38" s="13">
        <f>'5.4 Tableau de l''endettement'!AL22</f>
        <v>7358.280538001708</v>
      </c>
      <c r="D38" s="13">
        <f>'5.4 Tableau de l''endettement'!AL24</f>
        <v>-7028953.0700000003</v>
      </c>
      <c r="E38" s="13">
        <f>'5.4 Tableau de l''endettement'!AL25</f>
        <v>-6002.5218360375748</v>
      </c>
    </row>
    <row r="39" spans="1:5" x14ac:dyDescent="0.2">
      <c r="A39" s="90" t="s">
        <v>47</v>
      </c>
      <c r="B39" s="13">
        <f>'5.4 Tableau de l''endettement'!AM21</f>
        <v>4939829.34</v>
      </c>
      <c r="C39" s="13">
        <f>'5.4 Tableau de l''endettement'!AM22</f>
        <v>7541.7241832061063</v>
      </c>
      <c r="D39" s="13">
        <f>'5.4 Tableau de l''endettement'!AM24</f>
        <v>2433910.9000000004</v>
      </c>
      <c r="E39" s="13">
        <f>'5.4 Tableau de l''endettement'!AM25</f>
        <v>3715.8945038167944</v>
      </c>
    </row>
    <row r="40" spans="1:5" x14ac:dyDescent="0.2">
      <c r="A40" s="90" t="s">
        <v>43</v>
      </c>
      <c r="B40" s="13">
        <f>'5.4 Tableau de l''endettement'!AN21</f>
        <v>5017843.2699999996</v>
      </c>
      <c r="C40" s="13">
        <f>'5.4 Tableau de l''endettement'!AN22</f>
        <v>7952.2080348652926</v>
      </c>
      <c r="D40" s="13">
        <f>'5.4 Tableau de l''endettement'!AN24</f>
        <v>2150490.7100000004</v>
      </c>
      <c r="E40" s="13">
        <f>'5.4 Tableau de l''endettement'!AN25</f>
        <v>3408.0676862123619</v>
      </c>
    </row>
    <row r="41" spans="1:5" x14ac:dyDescent="0.2">
      <c r="A41" s="90" t="s">
        <v>36</v>
      </c>
      <c r="B41" s="13">
        <f>'5.4 Tableau de l''endettement'!AO21</f>
        <v>10146633.530000001</v>
      </c>
      <c r="C41" s="13">
        <f>'5.4 Tableau de l''endettement'!AO22</f>
        <v>7841.2932998454417</v>
      </c>
      <c r="D41" s="13">
        <f>'5.4 Tableau de l''endettement'!AO24</f>
        <v>-308776.70999999717</v>
      </c>
      <c r="E41" s="13">
        <f>'5.4 Tableau de l''endettement'!AO25</f>
        <v>-238.62187789798853</v>
      </c>
    </row>
    <row r="42" spans="1:5" x14ac:dyDescent="0.2">
      <c r="A42" s="90" t="s">
        <v>50</v>
      </c>
      <c r="B42" s="13">
        <f>'5.4 Tableau de l''endettement'!AP21</f>
        <v>5638389.4799999995</v>
      </c>
      <c r="C42" s="13">
        <f>'5.4 Tableau de l''endettement'!AP22</f>
        <v>7820.2350624133142</v>
      </c>
      <c r="D42" s="13">
        <f>'5.4 Tableau de l''endettement'!AP24</f>
        <v>3098658.07</v>
      </c>
      <c r="E42" s="13">
        <f>'5.4 Tableau de l''endettement'!AP25</f>
        <v>4297.722704576976</v>
      </c>
    </row>
    <row r="43" spans="1:5" x14ac:dyDescent="0.2">
      <c r="A43" s="90" t="s">
        <v>8</v>
      </c>
      <c r="B43" s="13">
        <f>'5.4 Tableau de l''endettement'!AQ21</f>
        <v>9390739.8100000005</v>
      </c>
      <c r="C43" s="13">
        <f>'5.4 Tableau de l''endettement'!AQ22</f>
        <v>8859.1885000000002</v>
      </c>
      <c r="D43" s="13">
        <f>'5.4 Tableau de l''endettement'!AQ24</f>
        <v>5239680.2300000014</v>
      </c>
      <c r="E43" s="13">
        <f>'5.4 Tableau de l''endettement'!AQ25</f>
        <v>4943.0945566037744</v>
      </c>
    </row>
    <row r="44" spans="1:5" x14ac:dyDescent="0.2">
      <c r="A44" s="90" t="s">
        <v>23</v>
      </c>
      <c r="B44" s="13">
        <f>'5.4 Tableau de l''endettement'!AR21</f>
        <v>1628614.66</v>
      </c>
      <c r="C44" s="13">
        <f>'5.4 Tableau de l''endettement'!AR22</f>
        <v>5186.6708917197448</v>
      </c>
      <c r="D44" s="13">
        <f>'5.4 Tableau de l''endettement'!AR24</f>
        <v>-1100260.1800000002</v>
      </c>
      <c r="E44" s="13">
        <f>'5.4 Tableau de l''endettement'!AR25</f>
        <v>-3504.0133121019112</v>
      </c>
    </row>
    <row r="45" spans="1:5" x14ac:dyDescent="0.2">
      <c r="A45" s="90" t="s">
        <v>9</v>
      </c>
      <c r="B45" s="13">
        <f>'5.4 Tableau de l''endettement'!AS21</f>
        <v>15124197.27</v>
      </c>
      <c r="C45" s="13">
        <f>'5.4 Tableau de l''endettement'!AS22</f>
        <v>6165.5920383204239</v>
      </c>
      <c r="D45" s="13">
        <f>'5.4 Tableau de l''endettement'!AS24</f>
        <v>10479919.150000002</v>
      </c>
      <c r="E45" s="13">
        <f>'5.4 Tableau de l''endettement'!AS25</f>
        <v>4272.2866490012239</v>
      </c>
    </row>
    <row r="46" spans="1:5" x14ac:dyDescent="0.2">
      <c r="A46" s="90" t="s">
        <v>61</v>
      </c>
      <c r="B46" s="13">
        <f>'5.4 Tableau de l''endettement'!AT21</f>
        <v>5728689.8200000003</v>
      </c>
      <c r="C46" s="13">
        <f>'5.4 Tableau de l''endettement'!AT22</f>
        <v>7401.4080361757105</v>
      </c>
      <c r="D46" s="13">
        <f>'5.4 Tableau de l''endettement'!AT24</f>
        <v>2783262.1399999987</v>
      </c>
      <c r="E46" s="13">
        <f>'5.4 Tableau de l''endettement'!AT25</f>
        <v>3595.9459173126597</v>
      </c>
    </row>
    <row r="47" spans="1:5" x14ac:dyDescent="0.2">
      <c r="A47" s="90" t="s">
        <v>850</v>
      </c>
      <c r="B47" s="13">
        <f>'5.4 Tableau de l''endettement'!AU21</f>
        <v>772969.42999999993</v>
      </c>
      <c r="C47" s="13">
        <f>'5.4 Tableau de l''endettement'!AU22</f>
        <v>2129.3923691460054</v>
      </c>
      <c r="D47" s="13">
        <f>'5.4 Tableau de l''endettement'!AU24</f>
        <v>-699037.84</v>
      </c>
      <c r="E47" s="13">
        <f>'5.4 Tableau de l''endettement'!AU25</f>
        <v>-1925.7240771349861</v>
      </c>
    </row>
    <row r="48" spans="1:5" x14ac:dyDescent="0.2">
      <c r="A48" s="90" t="s">
        <v>34</v>
      </c>
      <c r="B48" s="13">
        <f>'5.4 Tableau de l''endettement'!AV21</f>
        <v>1947668.93</v>
      </c>
      <c r="C48" s="13">
        <f>'5.4 Tableau de l''endettement'!AV22</f>
        <v>5866.4726807228917</v>
      </c>
      <c r="D48" s="13">
        <f>'5.4 Tableau de l''endettement'!AV24</f>
        <v>-245412.23000000045</v>
      </c>
      <c r="E48" s="13">
        <f>'5.4 Tableau de l''endettement'!AV25</f>
        <v>-739.19346385542303</v>
      </c>
    </row>
    <row r="49" spans="1:5" x14ac:dyDescent="0.2">
      <c r="A49" s="90" t="s">
        <v>48</v>
      </c>
      <c r="B49" s="13">
        <f>'5.4 Tableau de l''endettement'!AW21</f>
        <v>19230755.620000001</v>
      </c>
      <c r="C49" s="13">
        <f>'5.4 Tableau de l''endettement'!AW22</f>
        <v>11676.232920461445</v>
      </c>
      <c r="D49" s="13">
        <f>'5.4 Tableau de l''endettement'!AW24</f>
        <v>14921720.279999997</v>
      </c>
      <c r="E49" s="13">
        <f>'5.4 Tableau de l''endettement'!AW25</f>
        <v>9059.9394535519114</v>
      </c>
    </row>
    <row r="50" spans="1:5" x14ac:dyDescent="0.2">
      <c r="A50" s="90" t="s">
        <v>46</v>
      </c>
      <c r="B50" s="13">
        <f>'5.4 Tableau de l''endettement'!AX21</f>
        <v>3159146.96</v>
      </c>
      <c r="C50" s="13">
        <f>'5.4 Tableau de l''endettement'!AX22</f>
        <v>8291.7243044619427</v>
      </c>
      <c r="D50" s="13">
        <f>'5.4 Tableau de l''endettement'!AX24</f>
        <v>216705.85999999987</v>
      </c>
      <c r="E50" s="13">
        <f>'5.4 Tableau de l''endettement'!AX25</f>
        <v>568.78178477690255</v>
      </c>
    </row>
    <row r="51" spans="1:5" x14ac:dyDescent="0.2">
      <c r="A51" s="90" t="s">
        <v>57</v>
      </c>
      <c r="B51" s="13">
        <f>'5.4 Tableau de l''endettement'!AY21</f>
        <v>10495924.960000001</v>
      </c>
      <c r="C51" s="13">
        <f>'5.4 Tableau de l''endettement'!AY22</f>
        <v>9929.9195458845807</v>
      </c>
      <c r="D51" s="13">
        <f>'5.4 Tableau de l''endettement'!AY24</f>
        <v>5601501.8699999992</v>
      </c>
      <c r="E51" s="13">
        <f>'5.4 Tableau de l''endettement'!AY25</f>
        <v>5299.43412488174</v>
      </c>
    </row>
    <row r="52" spans="1:5" x14ac:dyDescent="0.2">
      <c r="A52" s="90" t="s">
        <v>15</v>
      </c>
      <c r="B52" s="13">
        <f>'5.4 Tableau de l''endettement'!AZ21</f>
        <v>71272475.480000004</v>
      </c>
      <c r="C52" s="13">
        <f>'5.4 Tableau de l''endettement'!AZ22</f>
        <v>10797.223978185124</v>
      </c>
      <c r="D52" s="13">
        <f>'5.4 Tableau de l''endettement'!AZ24</f>
        <v>45923400.93</v>
      </c>
      <c r="E52" s="13">
        <f>'5.4 Tableau de l''endettement'!AZ25</f>
        <v>6957.0369534918955</v>
      </c>
    </row>
    <row r="53" spans="1:5" x14ac:dyDescent="0.2">
      <c r="A53" s="90" t="s">
        <v>24</v>
      </c>
      <c r="B53" s="13">
        <f>'5.4 Tableau de l''endettement'!BA21</f>
        <v>4530485.67</v>
      </c>
      <c r="C53" s="13">
        <f>'5.4 Tableau de l''endettement'!BA22</f>
        <v>8282.4235283363796</v>
      </c>
      <c r="D53" s="13">
        <f>'5.4 Tableau de l''endettement'!BA24</f>
        <v>2083214.2999999998</v>
      </c>
      <c r="E53" s="13">
        <f>'5.4 Tableau de l''endettement'!BA25</f>
        <v>3808.4356489945153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A3" sqref="A3"/>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3">
        <v>2022</v>
      </c>
      <c r="B1" s="223"/>
      <c r="C1" s="223"/>
      <c r="D1" s="223"/>
      <c r="E1" s="223"/>
      <c r="G1" s="223">
        <v>2021</v>
      </c>
      <c r="H1" s="223"/>
      <c r="I1" s="223"/>
      <c r="J1" s="223"/>
      <c r="K1" s="223"/>
      <c r="M1" s="223" t="s">
        <v>838</v>
      </c>
      <c r="N1" s="223"/>
      <c r="O1" s="223"/>
      <c r="P1" s="223"/>
      <c r="Q1" s="223"/>
    </row>
    <row r="2" spans="1:21" x14ac:dyDescent="0.25">
      <c r="A2" s="208" t="s">
        <v>66</v>
      </c>
      <c r="B2" s="208" t="s">
        <v>769</v>
      </c>
      <c r="C2" s="208" t="s">
        <v>771</v>
      </c>
      <c r="D2" s="208" t="s">
        <v>770</v>
      </c>
      <c r="E2" s="208" t="s">
        <v>772</v>
      </c>
      <c r="G2" s="208" t="s">
        <v>66</v>
      </c>
      <c r="H2" s="208" t="s">
        <v>769</v>
      </c>
      <c r="I2" s="208" t="s">
        <v>771</v>
      </c>
      <c r="J2" s="208" t="s">
        <v>770</v>
      </c>
      <c r="K2" s="208" t="s">
        <v>772</v>
      </c>
      <c r="M2" s="208" t="s">
        <v>66</v>
      </c>
      <c r="N2" s="208" t="s">
        <v>769</v>
      </c>
      <c r="O2" s="208" t="s">
        <v>771</v>
      </c>
      <c r="P2" s="208" t="s">
        <v>770</v>
      </c>
      <c r="Q2" s="208" t="s">
        <v>772</v>
      </c>
      <c r="S2" s="223" t="s">
        <v>846</v>
      </c>
      <c r="T2" s="223"/>
      <c r="U2" s="223"/>
    </row>
    <row r="3" spans="1:21" x14ac:dyDescent="0.25">
      <c r="A3" s="209" t="s">
        <v>55</v>
      </c>
      <c r="B3" s="209">
        <v>10231693.5</v>
      </c>
      <c r="C3" s="209">
        <v>10758.878548895898</v>
      </c>
      <c r="D3" s="209">
        <v>4350117.6099999994</v>
      </c>
      <c r="E3" s="209">
        <v>4574.2561619348053</v>
      </c>
      <c r="G3" s="209" t="s">
        <v>55</v>
      </c>
      <c r="H3" s="209">
        <v>10352456.359999999</v>
      </c>
      <c r="I3" s="209">
        <v>10931.844097148891</v>
      </c>
      <c r="J3" s="209">
        <v>4381758.7200000007</v>
      </c>
      <c r="K3" s="209">
        <v>4626.989144667371</v>
      </c>
      <c r="M3" s="209" t="s">
        <v>55</v>
      </c>
      <c r="N3" s="209">
        <f>B3-H3</f>
        <v>-120762.8599999994</v>
      </c>
      <c r="O3" s="209">
        <f>C3-I3</f>
        <v>-172.96554825299245</v>
      </c>
      <c r="P3" s="209">
        <f>D3-J3</f>
        <v>-31641.110000001267</v>
      </c>
      <c r="Q3" s="209">
        <f>E3-K3</f>
        <v>-52.732982732565688</v>
      </c>
      <c r="S3" t="s">
        <v>841</v>
      </c>
      <c r="T3" s="207">
        <v>7</v>
      </c>
      <c r="U3" s="209">
        <f>N16+N17+N18+N26+N45+N47+N49</f>
        <v>374440.23999999976</v>
      </c>
    </row>
    <row r="4" spans="1:21" x14ac:dyDescent="0.25">
      <c r="A4" s="209" t="s">
        <v>17</v>
      </c>
      <c r="B4" s="209">
        <v>2396649.5500000003</v>
      </c>
      <c r="C4" s="209">
        <v>9289.3393410852732</v>
      </c>
      <c r="D4" s="209">
        <v>1350274.5700000003</v>
      </c>
      <c r="E4" s="209">
        <v>5233.6223643410867</v>
      </c>
      <c r="G4" s="209" t="s">
        <v>17</v>
      </c>
      <c r="H4" s="209">
        <v>2474314.7000000002</v>
      </c>
      <c r="I4" s="209">
        <v>9337.0366037735857</v>
      </c>
      <c r="J4" s="209">
        <v>1334174.0200000003</v>
      </c>
      <c r="K4" s="209">
        <v>5034.6189433962272</v>
      </c>
      <c r="M4" s="209" t="s">
        <v>17</v>
      </c>
      <c r="N4" s="209">
        <f t="shared" ref="N4:N55" si="0">B4-H4</f>
        <v>-77665.149999999907</v>
      </c>
      <c r="O4" s="209">
        <f t="shared" ref="O4:O55" si="1">C4-I4</f>
        <v>-47.697262688312549</v>
      </c>
      <c r="P4" s="209">
        <f t="shared" ref="P4:P55" si="2">D4-J4</f>
        <v>16100.550000000047</v>
      </c>
      <c r="Q4" s="209">
        <f t="shared" ref="Q4:Q55" si="3">E4-K4</f>
        <v>199.0034209448595</v>
      </c>
      <c r="S4" t="s">
        <v>842</v>
      </c>
      <c r="T4" s="207">
        <v>8</v>
      </c>
      <c r="U4" s="209">
        <f>N19+N25+N27+N28+N29+N37+N40+N46</f>
        <v>2409157.0600000015</v>
      </c>
    </row>
    <row r="5" spans="1:21" x14ac:dyDescent="0.25">
      <c r="A5" s="209" t="s">
        <v>56</v>
      </c>
      <c r="B5" s="209">
        <v>5213780.8499999996</v>
      </c>
      <c r="C5" s="209">
        <v>11069.598407643311</v>
      </c>
      <c r="D5" s="209">
        <v>2310199.3900000006</v>
      </c>
      <c r="E5" s="209">
        <v>4904.8819320594494</v>
      </c>
      <c r="G5" s="209" t="s">
        <v>56</v>
      </c>
      <c r="H5" s="209">
        <v>5522808.4000000004</v>
      </c>
      <c r="I5" s="209">
        <v>11775.710874200427</v>
      </c>
      <c r="J5" s="209">
        <v>2494295.2999999993</v>
      </c>
      <c r="K5" s="209">
        <v>5318.32686567164</v>
      </c>
      <c r="M5" s="209" t="s">
        <v>56</v>
      </c>
      <c r="N5" s="209">
        <f t="shared" si="0"/>
        <v>-309027.55000000075</v>
      </c>
      <c r="O5" s="209">
        <f t="shared" si="1"/>
        <v>-706.11246655711693</v>
      </c>
      <c r="P5" s="209">
        <f t="shared" si="2"/>
        <v>-184095.90999999875</v>
      </c>
      <c r="Q5" s="209">
        <f t="shared" si="3"/>
        <v>-413.44493361219065</v>
      </c>
      <c r="S5" t="s">
        <v>843</v>
      </c>
      <c r="T5" s="207">
        <v>5</v>
      </c>
      <c r="U5" s="209">
        <f>N11+N41+N44+N51+N52</f>
        <v>3767006.8800000008</v>
      </c>
    </row>
    <row r="6" spans="1:21" x14ac:dyDescent="0.25">
      <c r="A6" s="209" t="s">
        <v>52</v>
      </c>
      <c r="B6" s="209">
        <v>4171946.5700000003</v>
      </c>
      <c r="C6" s="209">
        <v>9460.1963038548765</v>
      </c>
      <c r="D6" s="209">
        <v>29580.799999999814</v>
      </c>
      <c r="E6" s="209">
        <v>67.076643990929284</v>
      </c>
      <c r="G6" s="209" t="s">
        <v>52</v>
      </c>
      <c r="H6" s="209">
        <v>4432305.8599999994</v>
      </c>
      <c r="I6" s="209">
        <v>10096.368701594532</v>
      </c>
      <c r="J6" s="209">
        <v>159665.83999999985</v>
      </c>
      <c r="K6" s="209">
        <v>363.7035079726648</v>
      </c>
      <c r="M6" s="209" t="s">
        <v>52</v>
      </c>
      <c r="N6" s="209">
        <f t="shared" si="0"/>
        <v>-260359.28999999911</v>
      </c>
      <c r="O6" s="209">
        <f t="shared" si="1"/>
        <v>-636.17239773965593</v>
      </c>
      <c r="P6" s="209">
        <f t="shared" si="2"/>
        <v>-130085.04000000004</v>
      </c>
      <c r="Q6" s="209">
        <f t="shared" si="3"/>
        <v>-296.62686398173548</v>
      </c>
      <c r="S6" t="s">
        <v>844</v>
      </c>
      <c r="T6" s="207">
        <v>3</v>
      </c>
      <c r="U6" s="209">
        <f>N7+N13+N54</f>
        <v>6029477.9499999993</v>
      </c>
    </row>
    <row r="7" spans="1:21" x14ac:dyDescent="0.25">
      <c r="A7" s="209" t="s">
        <v>32</v>
      </c>
      <c r="B7" s="209">
        <v>26026875.600000001</v>
      </c>
      <c r="C7" s="209">
        <v>7061.0080303852419</v>
      </c>
      <c r="D7" s="209">
        <v>10596401.889999999</v>
      </c>
      <c r="E7" s="209">
        <v>2874.7699104720559</v>
      </c>
      <c r="G7" s="209" t="s">
        <v>32</v>
      </c>
      <c r="H7" s="209">
        <v>24113627.370000001</v>
      </c>
      <c r="I7" s="209">
        <v>6468.2476850858375</v>
      </c>
      <c r="J7" s="209">
        <v>9596524.3299999982</v>
      </c>
      <c r="K7" s="209">
        <v>2574.1749812231756</v>
      </c>
      <c r="M7" s="209" t="s">
        <v>32</v>
      </c>
      <c r="N7" s="209">
        <f t="shared" si="0"/>
        <v>1913248.2300000004</v>
      </c>
      <c r="O7" s="209">
        <f t="shared" si="1"/>
        <v>592.76034529940443</v>
      </c>
      <c r="P7" s="209">
        <f t="shared" si="2"/>
        <v>999877.56000000052</v>
      </c>
      <c r="Q7" s="209">
        <f t="shared" si="3"/>
        <v>300.59492924888036</v>
      </c>
      <c r="S7" t="s">
        <v>845</v>
      </c>
      <c r="T7" s="207">
        <v>1</v>
      </c>
      <c r="U7" s="209">
        <f>N10</f>
        <v>24088013.099999964</v>
      </c>
    </row>
    <row r="8" spans="1:21" x14ac:dyDescent="0.25">
      <c r="A8" s="209" t="s">
        <v>10</v>
      </c>
      <c r="B8" s="209">
        <v>23189435.620000001</v>
      </c>
      <c r="C8" s="209">
        <v>6999.527805614247</v>
      </c>
      <c r="D8" s="209">
        <v>16567735.970000003</v>
      </c>
      <c r="E8" s="209">
        <v>5000.8258285541815</v>
      </c>
      <c r="G8" s="209" t="s">
        <v>10</v>
      </c>
      <c r="H8" s="209">
        <v>23596343.5</v>
      </c>
      <c r="I8" s="209">
        <v>7054.2133034379667</v>
      </c>
      <c r="J8" s="209">
        <v>16136631.520000003</v>
      </c>
      <c r="K8" s="209">
        <v>4824.1050881913316</v>
      </c>
      <c r="M8" s="209" t="s">
        <v>10</v>
      </c>
      <c r="N8" s="209">
        <f t="shared" si="0"/>
        <v>-406907.87999999896</v>
      </c>
      <c r="O8" s="209">
        <f t="shared" si="1"/>
        <v>-54.685497823719743</v>
      </c>
      <c r="P8" s="209">
        <f t="shared" si="2"/>
        <v>431104.44999999925</v>
      </c>
      <c r="Q8" s="209">
        <f t="shared" si="3"/>
        <v>176.72074036284994</v>
      </c>
      <c r="T8" s="207">
        <f>SUM(T3:T7)</f>
        <v>24</v>
      </c>
      <c r="U8" s="209">
        <f>SUM(U3:U7)</f>
        <v>36668095.229999967</v>
      </c>
    </row>
    <row r="9" spans="1:21" x14ac:dyDescent="0.25">
      <c r="A9" s="209" t="s">
        <v>14</v>
      </c>
      <c r="B9" s="209">
        <v>10340912.189999999</v>
      </c>
      <c r="C9" s="209">
        <v>3896.3497324792766</v>
      </c>
      <c r="D9" s="209">
        <v>-429317.41000000015</v>
      </c>
      <c r="E9" s="209">
        <v>-161.76240015071596</v>
      </c>
      <c r="G9" s="209" t="s">
        <v>14</v>
      </c>
      <c r="H9" s="209">
        <v>10534501.98</v>
      </c>
      <c r="I9" s="209">
        <v>3972.2858144796382</v>
      </c>
      <c r="J9" s="209">
        <v>613443.49000000022</v>
      </c>
      <c r="K9" s="209">
        <v>231.31353318250385</v>
      </c>
      <c r="M9" s="209" t="s">
        <v>14</v>
      </c>
      <c r="N9" s="209">
        <f t="shared" si="0"/>
        <v>-193589.79000000097</v>
      </c>
      <c r="O9" s="209">
        <f t="shared" si="1"/>
        <v>-75.936082000361694</v>
      </c>
      <c r="P9" s="209">
        <f t="shared" si="2"/>
        <v>-1042760.9000000004</v>
      </c>
      <c r="Q9" s="209">
        <f t="shared" si="3"/>
        <v>-393.07593333321984</v>
      </c>
    </row>
    <row r="10" spans="1:21" x14ac:dyDescent="0.25">
      <c r="A10" s="209" t="s">
        <v>27</v>
      </c>
      <c r="B10" s="209">
        <v>166457137.63999999</v>
      </c>
      <c r="C10" s="209">
        <v>13173.246093700536</v>
      </c>
      <c r="D10" s="209">
        <v>103469664.34000002</v>
      </c>
      <c r="E10" s="209">
        <v>8188.4824580563482</v>
      </c>
      <c r="G10" s="209" t="s">
        <v>27</v>
      </c>
      <c r="H10" s="209">
        <v>142369124.54000002</v>
      </c>
      <c r="I10" s="209">
        <v>11408.696573443387</v>
      </c>
      <c r="J10" s="209">
        <v>95429892.970000029</v>
      </c>
      <c r="K10" s="209">
        <v>7647.2387987819557</v>
      </c>
      <c r="M10" s="209" t="s">
        <v>27</v>
      </c>
      <c r="N10" s="209">
        <f t="shared" si="0"/>
        <v>24088013.099999964</v>
      </c>
      <c r="O10" s="209">
        <f t="shared" si="1"/>
        <v>1764.5495202571492</v>
      </c>
      <c r="P10" s="209">
        <f t="shared" si="2"/>
        <v>8039771.3699999899</v>
      </c>
      <c r="Q10" s="209">
        <f t="shared" si="3"/>
        <v>541.24365927439248</v>
      </c>
      <c r="S10" s="223" t="s">
        <v>847</v>
      </c>
      <c r="T10" s="223"/>
      <c r="U10" s="223"/>
    </row>
    <row r="11" spans="1:21" x14ac:dyDescent="0.25">
      <c r="A11" s="209" t="s">
        <v>41</v>
      </c>
      <c r="B11" s="209">
        <v>7684406.9900000002</v>
      </c>
      <c r="C11" s="209">
        <v>5650.2992573529409</v>
      </c>
      <c r="D11" s="209">
        <v>4117624.0699999994</v>
      </c>
      <c r="E11" s="209">
        <v>3027.6647573529408</v>
      </c>
      <c r="G11" s="209" t="s">
        <v>41</v>
      </c>
      <c r="H11" s="209">
        <v>6715713.5199999996</v>
      </c>
      <c r="I11" s="209">
        <v>4941.658219278881</v>
      </c>
      <c r="J11" s="209">
        <v>3276821.4900000007</v>
      </c>
      <c r="K11" s="209">
        <v>2411.2005077262697</v>
      </c>
      <c r="M11" s="209" t="s">
        <v>41</v>
      </c>
      <c r="N11" s="209">
        <f t="shared" si="0"/>
        <v>968693.47000000067</v>
      </c>
      <c r="O11" s="209">
        <f t="shared" si="1"/>
        <v>708.64103807405991</v>
      </c>
      <c r="P11" s="209">
        <f t="shared" si="2"/>
        <v>840802.57999999868</v>
      </c>
      <c r="Q11" s="209">
        <f t="shared" si="3"/>
        <v>616.46424962667106</v>
      </c>
      <c r="S11" t="s">
        <v>841</v>
      </c>
      <c r="T11" s="207">
        <v>7</v>
      </c>
      <c r="U11" s="209">
        <f>N4+N15+N33+N43+N48+N53+N55</f>
        <v>-397959.22999999917</v>
      </c>
    </row>
    <row r="12" spans="1:21" x14ac:dyDescent="0.25">
      <c r="A12" s="209" t="s">
        <v>22</v>
      </c>
      <c r="B12" s="209">
        <v>752392.9</v>
      </c>
      <c r="C12" s="209">
        <v>6717.7937499999998</v>
      </c>
      <c r="D12" s="209">
        <v>779330.57000000007</v>
      </c>
      <c r="E12" s="209">
        <v>6958.3086607142859</v>
      </c>
      <c r="G12" s="209" t="s">
        <v>22</v>
      </c>
      <c r="H12" s="209">
        <v>858438.48</v>
      </c>
      <c r="I12" s="209">
        <v>7337.0810256410259</v>
      </c>
      <c r="J12" s="209">
        <v>657021.74</v>
      </c>
      <c r="K12" s="209">
        <v>5615.5704273504271</v>
      </c>
      <c r="M12" s="209" t="s">
        <v>22</v>
      </c>
      <c r="N12" s="209">
        <f t="shared" si="0"/>
        <v>-106045.57999999996</v>
      </c>
      <c r="O12" s="209">
        <f t="shared" si="1"/>
        <v>-619.2872756410261</v>
      </c>
      <c r="P12" s="209">
        <f t="shared" si="2"/>
        <v>122308.83000000007</v>
      </c>
      <c r="Q12" s="209">
        <f t="shared" si="3"/>
        <v>1342.7382333638589</v>
      </c>
      <c r="S12" t="s">
        <v>842</v>
      </c>
      <c r="T12" s="207">
        <v>15</v>
      </c>
      <c r="U12" s="209">
        <f>N3+N5+N6+N8+N9+N12+N14+N20+N22+N30+N34+N35+N38+N39+N50</f>
        <v>-3783929.6699999981</v>
      </c>
    </row>
    <row r="13" spans="1:21" x14ac:dyDescent="0.25">
      <c r="A13" s="209" t="s">
        <v>21</v>
      </c>
      <c r="B13" s="209">
        <v>45615798.689999998</v>
      </c>
      <c r="C13" s="209">
        <v>6232.5179245798599</v>
      </c>
      <c r="D13" s="209">
        <v>29090469.219999999</v>
      </c>
      <c r="E13" s="209">
        <v>3974.650802022134</v>
      </c>
      <c r="G13" s="209" t="s">
        <v>21</v>
      </c>
      <c r="H13" s="209">
        <v>44141873.289999999</v>
      </c>
      <c r="I13" s="209">
        <v>6079.31046550062</v>
      </c>
      <c r="J13" s="209">
        <v>27130951.869999997</v>
      </c>
      <c r="K13" s="209">
        <v>3736.531038424459</v>
      </c>
      <c r="M13" s="209" t="s">
        <v>21</v>
      </c>
      <c r="N13" s="209">
        <f t="shared" si="0"/>
        <v>1473925.3999999985</v>
      </c>
      <c r="O13" s="209">
        <f t="shared" si="1"/>
        <v>153.20745907923992</v>
      </c>
      <c r="P13" s="209">
        <f t="shared" si="2"/>
        <v>1959517.3500000015</v>
      </c>
      <c r="Q13" s="209">
        <f t="shared" si="3"/>
        <v>238.11976359767505</v>
      </c>
      <c r="S13" t="s">
        <v>843</v>
      </c>
      <c r="T13" s="207">
        <v>5</v>
      </c>
      <c r="U13" s="209">
        <f>N31+N32+N36+N42+N21</f>
        <v>-3864821.9700000016</v>
      </c>
    </row>
    <row r="14" spans="1:21" x14ac:dyDescent="0.25">
      <c r="A14" s="209" t="s">
        <v>12</v>
      </c>
      <c r="B14" s="209">
        <v>2811349.0100000002</v>
      </c>
      <c r="C14" s="209">
        <v>5385.7260727969351</v>
      </c>
      <c r="D14" s="209">
        <v>1290983.73</v>
      </c>
      <c r="E14" s="209">
        <v>2473.1489080459769</v>
      </c>
      <c r="G14" s="209" t="s">
        <v>12</v>
      </c>
      <c r="H14" s="209">
        <v>3093787.24</v>
      </c>
      <c r="I14" s="209">
        <v>5750.5339033457258</v>
      </c>
      <c r="J14" s="209">
        <v>1159598.6799999997</v>
      </c>
      <c r="K14" s="209">
        <v>2155.3878810408914</v>
      </c>
      <c r="M14" s="209" t="s">
        <v>12</v>
      </c>
      <c r="N14" s="209">
        <f t="shared" si="0"/>
        <v>-282438.23</v>
      </c>
      <c r="O14" s="209">
        <f t="shared" si="1"/>
        <v>-364.80783054879066</v>
      </c>
      <c r="P14" s="209">
        <f t="shared" si="2"/>
        <v>131385.05000000028</v>
      </c>
      <c r="Q14" s="209">
        <f t="shared" si="3"/>
        <v>317.76102700508545</v>
      </c>
      <c r="S14" t="s">
        <v>844</v>
      </c>
      <c r="T14" s="207">
        <v>2</v>
      </c>
      <c r="U14" s="209">
        <f>N23+N24</f>
        <v>-4669209.9400000013</v>
      </c>
    </row>
    <row r="15" spans="1:21" x14ac:dyDescent="0.25">
      <c r="A15" s="209" t="s">
        <v>16</v>
      </c>
      <c r="B15" s="209">
        <v>472998.96</v>
      </c>
      <c r="C15" s="209">
        <v>4462.254339622642</v>
      </c>
      <c r="D15" s="209">
        <v>-17354.150000000023</v>
      </c>
      <c r="E15" s="209">
        <v>-163.71839622641531</v>
      </c>
      <c r="G15" s="209" t="s">
        <v>16</v>
      </c>
      <c r="H15" s="209">
        <v>497395.93</v>
      </c>
      <c r="I15" s="209">
        <v>4481.0444144144139</v>
      </c>
      <c r="J15" s="209">
        <v>41216.310000000056</v>
      </c>
      <c r="K15" s="209">
        <v>371.31810810810862</v>
      </c>
      <c r="M15" s="209" t="s">
        <v>16</v>
      </c>
      <c r="N15" s="209">
        <f t="shared" si="0"/>
        <v>-24396.969999999972</v>
      </c>
      <c r="O15" s="209">
        <f t="shared" si="1"/>
        <v>-18.790074791771985</v>
      </c>
      <c r="P15" s="209">
        <f t="shared" si="2"/>
        <v>-58570.460000000079</v>
      </c>
      <c r="Q15" s="209">
        <f t="shared" si="3"/>
        <v>-535.0365043345239</v>
      </c>
      <c r="S15" t="s">
        <v>845</v>
      </c>
      <c r="T15" s="207">
        <v>0</v>
      </c>
      <c r="U15" s="209">
        <v>0</v>
      </c>
    </row>
    <row r="16" spans="1:21" x14ac:dyDescent="0.25">
      <c r="A16" s="209" t="s">
        <v>42</v>
      </c>
      <c r="B16" s="209">
        <v>3177943.3000000003</v>
      </c>
      <c r="C16" s="209">
        <v>7477.5136470588241</v>
      </c>
      <c r="D16" s="209">
        <v>1642738.42</v>
      </c>
      <c r="E16" s="209">
        <v>3865.2668705882352</v>
      </c>
      <c r="G16" s="209" t="s">
        <v>42</v>
      </c>
      <c r="H16" s="209">
        <v>3083781.92</v>
      </c>
      <c r="I16" s="209">
        <v>7324.8976722090256</v>
      </c>
      <c r="J16" s="209">
        <v>1753942.15</v>
      </c>
      <c r="K16" s="209">
        <v>4166.1333729216149</v>
      </c>
      <c r="M16" s="209" t="s">
        <v>42</v>
      </c>
      <c r="N16" s="209">
        <f t="shared" si="0"/>
        <v>94161.380000000354</v>
      </c>
      <c r="O16" s="209">
        <f t="shared" si="1"/>
        <v>152.61597484979848</v>
      </c>
      <c r="P16" s="209">
        <f t="shared" si="2"/>
        <v>-111203.72999999998</v>
      </c>
      <c r="Q16" s="209">
        <f t="shared" si="3"/>
        <v>-300.86650233337969</v>
      </c>
      <c r="T16" s="207">
        <f>SUM(T11:T15)</f>
        <v>29</v>
      </c>
      <c r="U16" s="209">
        <f>SUM(U11:U15)</f>
        <v>-12715920.810000001</v>
      </c>
    </row>
    <row r="17" spans="1:21" x14ac:dyDescent="0.25">
      <c r="A17" s="209" t="s">
        <v>39</v>
      </c>
      <c r="B17" s="209">
        <v>4143084.9</v>
      </c>
      <c r="C17" s="209">
        <v>11837.385428571428</v>
      </c>
      <c r="D17" s="209">
        <v>1514124.1099999994</v>
      </c>
      <c r="E17" s="209">
        <v>4326.0688857142841</v>
      </c>
      <c r="G17" s="209" t="s">
        <v>39</v>
      </c>
      <c r="H17" s="209">
        <v>4101271.2100000004</v>
      </c>
      <c r="I17" s="209">
        <v>11853.385000000002</v>
      </c>
      <c r="J17" s="209">
        <v>1749151.4600000004</v>
      </c>
      <c r="K17" s="209">
        <v>5055.3510404624294</v>
      </c>
      <c r="M17" s="209" t="s">
        <v>39</v>
      </c>
      <c r="N17" s="209">
        <f t="shared" si="0"/>
        <v>41813.689999999478</v>
      </c>
      <c r="O17" s="209">
        <f t="shared" si="1"/>
        <v>-15.9995714285742</v>
      </c>
      <c r="P17" s="209">
        <f t="shared" si="2"/>
        <v>-235027.35000000102</v>
      </c>
      <c r="Q17" s="209">
        <f t="shared" si="3"/>
        <v>-729.28215474814533</v>
      </c>
    </row>
    <row r="18" spans="1:21" x14ac:dyDescent="0.25">
      <c r="A18" s="209" t="s">
        <v>30</v>
      </c>
      <c r="B18" s="209">
        <v>5163639.42</v>
      </c>
      <c r="C18" s="209">
        <v>7044.5285402455656</v>
      </c>
      <c r="D18" s="209">
        <v>-451715.36000000034</v>
      </c>
      <c r="E18" s="209">
        <v>-616.25560709413412</v>
      </c>
      <c r="G18" s="209" t="s">
        <v>30</v>
      </c>
      <c r="H18" s="209">
        <v>5096463.18</v>
      </c>
      <c r="I18" s="209">
        <v>7178.1171549295768</v>
      </c>
      <c r="J18" s="209">
        <v>-208385.76999999955</v>
      </c>
      <c r="K18" s="209">
        <v>-293.50108450704164</v>
      </c>
      <c r="M18" s="209" t="s">
        <v>30</v>
      </c>
      <c r="N18" s="209">
        <f t="shared" si="0"/>
        <v>67176.240000000224</v>
      </c>
      <c r="O18" s="209">
        <f t="shared" si="1"/>
        <v>-133.58861468401119</v>
      </c>
      <c r="P18" s="209">
        <f t="shared" si="2"/>
        <v>-243329.59000000078</v>
      </c>
      <c r="Q18" s="209">
        <f t="shared" si="3"/>
        <v>-322.75452258709248</v>
      </c>
      <c r="S18" s="4" t="s">
        <v>848</v>
      </c>
      <c r="T18" s="4"/>
      <c r="U18" s="210">
        <f>U8+U16</f>
        <v>23952174.419999965</v>
      </c>
    </row>
    <row r="19" spans="1:21" x14ac:dyDescent="0.25">
      <c r="A19" s="209" t="s">
        <v>11</v>
      </c>
      <c r="B19" s="209">
        <v>1238569.5</v>
      </c>
      <c r="C19" s="209">
        <v>4587.2944444444447</v>
      </c>
      <c r="D19" s="209">
        <v>448146.76</v>
      </c>
      <c r="E19" s="209">
        <v>1659.8028148148148</v>
      </c>
      <c r="G19" s="209" t="s">
        <v>11</v>
      </c>
      <c r="H19" s="209">
        <v>937461.24</v>
      </c>
      <c r="I19" s="209">
        <v>3484.9860223048327</v>
      </c>
      <c r="J19" s="209">
        <v>295523.71999999974</v>
      </c>
      <c r="K19" s="209">
        <v>1098.6011895910772</v>
      </c>
      <c r="M19" s="209" t="s">
        <v>11</v>
      </c>
      <c r="N19" s="209">
        <f t="shared" si="0"/>
        <v>301108.26</v>
      </c>
      <c r="O19" s="209">
        <f t="shared" si="1"/>
        <v>1102.308422139612</v>
      </c>
      <c r="P19" s="209">
        <f t="shared" si="2"/>
        <v>152623.04000000027</v>
      </c>
      <c r="Q19" s="209">
        <f t="shared" si="3"/>
        <v>561.20162522373766</v>
      </c>
    </row>
    <row r="20" spans="1:21" x14ac:dyDescent="0.25">
      <c r="A20" s="209" t="s">
        <v>58</v>
      </c>
      <c r="B20" s="209">
        <v>3504832.67</v>
      </c>
      <c r="C20" s="209">
        <v>8404.8745083932845</v>
      </c>
      <c r="D20" s="209">
        <v>1914576.7699999998</v>
      </c>
      <c r="E20" s="209">
        <v>4591.311199040767</v>
      </c>
      <c r="G20" s="209" t="s">
        <v>58</v>
      </c>
      <c r="H20" s="209">
        <v>3792930.42</v>
      </c>
      <c r="I20" s="209">
        <v>8620.2964090909081</v>
      </c>
      <c r="J20" s="209">
        <v>1952635.5100000002</v>
      </c>
      <c r="K20" s="209">
        <v>4437.8079772727278</v>
      </c>
      <c r="M20" s="209" t="s">
        <v>58</v>
      </c>
      <c r="N20" s="209">
        <f t="shared" si="0"/>
        <v>-288097.75</v>
      </c>
      <c r="O20" s="209">
        <f t="shared" si="1"/>
        <v>-215.42190069762364</v>
      </c>
      <c r="P20" s="209">
        <f t="shared" si="2"/>
        <v>-38058.740000000456</v>
      </c>
      <c r="Q20" s="209">
        <f t="shared" si="3"/>
        <v>153.50322176803911</v>
      </c>
    </row>
    <row r="21" spans="1:21" x14ac:dyDescent="0.25">
      <c r="A21" s="209" t="s">
        <v>26</v>
      </c>
      <c r="B21" s="209">
        <v>15800389.75</v>
      </c>
      <c r="C21" s="209">
        <v>4809.8598934550992</v>
      </c>
      <c r="D21" s="209">
        <v>11431295.439999999</v>
      </c>
      <c r="E21" s="209">
        <v>3479.8464048706237</v>
      </c>
      <c r="G21" s="209" t="s">
        <v>26</v>
      </c>
      <c r="H21" s="209">
        <v>16447939.57</v>
      </c>
      <c r="I21" s="209">
        <v>5093.818386497368</v>
      </c>
      <c r="J21" s="209">
        <v>10826918.77</v>
      </c>
      <c r="K21" s="209">
        <v>3353.0253236296066</v>
      </c>
      <c r="M21" s="209" t="s">
        <v>26</v>
      </c>
      <c r="N21" s="209">
        <f t="shared" si="0"/>
        <v>-647549.8200000003</v>
      </c>
      <c r="O21" s="209">
        <f t="shared" si="1"/>
        <v>-283.95849304226886</v>
      </c>
      <c r="P21" s="209">
        <f t="shared" si="2"/>
        <v>604376.66999999993</v>
      </c>
      <c r="Q21" s="209">
        <f t="shared" si="3"/>
        <v>126.82108124101705</v>
      </c>
    </row>
    <row r="22" spans="1:21" x14ac:dyDescent="0.25">
      <c r="A22" s="209" t="s">
        <v>29</v>
      </c>
      <c r="B22" s="209">
        <v>484046.2</v>
      </c>
      <c r="C22" s="209">
        <v>1571.5785714285714</v>
      </c>
      <c r="D22" s="209">
        <v>-1095128.52</v>
      </c>
      <c r="E22" s="209">
        <v>-3555.6120779220778</v>
      </c>
      <c r="G22" s="209" t="s">
        <v>29</v>
      </c>
      <c r="H22" s="209">
        <v>602341.19999999995</v>
      </c>
      <c r="I22" s="209">
        <v>1943.0361290322578</v>
      </c>
      <c r="J22" s="209">
        <v>-1258764.1999999997</v>
      </c>
      <c r="K22" s="209">
        <v>-4060.5296774193539</v>
      </c>
      <c r="M22" s="209" t="s">
        <v>29</v>
      </c>
      <c r="N22" s="209">
        <f t="shared" si="0"/>
        <v>-118294.99999999994</v>
      </c>
      <c r="O22" s="209">
        <f t="shared" si="1"/>
        <v>-371.45755760368638</v>
      </c>
      <c r="P22" s="209">
        <f t="shared" si="2"/>
        <v>163635.6799999997</v>
      </c>
      <c r="Q22" s="209">
        <f t="shared" si="3"/>
        <v>504.91759949727611</v>
      </c>
    </row>
    <row r="23" spans="1:21" x14ac:dyDescent="0.25">
      <c r="A23" s="209" t="s">
        <v>19</v>
      </c>
      <c r="B23" s="209">
        <v>9591959.379999999</v>
      </c>
      <c r="C23" s="209">
        <v>7624.7689825119232</v>
      </c>
      <c r="D23" s="209">
        <v>5704163.3599999994</v>
      </c>
      <c r="E23" s="209">
        <v>4534.3110969793315</v>
      </c>
      <c r="G23" s="209" t="s">
        <v>19</v>
      </c>
      <c r="H23" s="209">
        <v>10692583.640000001</v>
      </c>
      <c r="I23" s="209">
        <v>8419.3571968503948</v>
      </c>
      <c r="J23" s="209">
        <v>6440242.9599999981</v>
      </c>
      <c r="K23" s="209">
        <v>5071.0574488188959</v>
      </c>
      <c r="M23" s="209" t="s">
        <v>19</v>
      </c>
      <c r="N23" s="209">
        <f t="shared" si="0"/>
        <v>-1100624.2600000016</v>
      </c>
      <c r="O23" s="209">
        <f t="shared" si="1"/>
        <v>-794.58821433847152</v>
      </c>
      <c r="P23" s="209">
        <f t="shared" si="2"/>
        <v>-736079.5999999987</v>
      </c>
      <c r="Q23" s="209">
        <f t="shared" si="3"/>
        <v>-536.74635183956434</v>
      </c>
    </row>
    <row r="24" spans="1:21" x14ac:dyDescent="0.25">
      <c r="A24" s="209" t="s">
        <v>44</v>
      </c>
      <c r="B24" s="209">
        <v>4910683.17</v>
      </c>
      <c r="C24" s="209">
        <v>3222.2330511811024</v>
      </c>
      <c r="D24" s="209">
        <v>-13726562.160000002</v>
      </c>
      <c r="E24" s="209">
        <v>-9006.9305511811035</v>
      </c>
      <c r="G24" s="209" t="s">
        <v>44</v>
      </c>
      <c r="H24" s="209">
        <v>8479268.8499999996</v>
      </c>
      <c r="I24" s="209">
        <v>5630.3246015936256</v>
      </c>
      <c r="J24" s="209">
        <v>-10380295.779999997</v>
      </c>
      <c r="K24" s="209">
        <v>-6892.6266799468776</v>
      </c>
      <c r="M24" s="209" t="s">
        <v>44</v>
      </c>
      <c r="N24" s="209">
        <f t="shared" si="0"/>
        <v>-3568585.6799999997</v>
      </c>
      <c r="O24" s="209">
        <f t="shared" si="1"/>
        <v>-2408.0915504125232</v>
      </c>
      <c r="P24" s="209">
        <f t="shared" si="2"/>
        <v>-3346266.3800000045</v>
      </c>
      <c r="Q24" s="209">
        <f t="shared" si="3"/>
        <v>-2114.3038712342259</v>
      </c>
    </row>
    <row r="25" spans="1:21" x14ac:dyDescent="0.25">
      <c r="A25" s="209" t="s">
        <v>70</v>
      </c>
      <c r="B25" s="209">
        <v>1134572.45</v>
      </c>
      <c r="C25" s="209">
        <v>13041.06264367816</v>
      </c>
      <c r="D25" s="209">
        <v>89722.550000000047</v>
      </c>
      <c r="E25" s="209">
        <v>1031.2936781609201</v>
      </c>
      <c r="G25" s="209" t="s">
        <v>70</v>
      </c>
      <c r="H25" s="209">
        <v>835119.4</v>
      </c>
      <c r="I25" s="209">
        <v>8699.1604166666675</v>
      </c>
      <c r="J25" s="209">
        <v>74018.899999999907</v>
      </c>
      <c r="K25" s="209">
        <v>771.03020833333233</v>
      </c>
      <c r="M25" s="209" t="s">
        <v>70</v>
      </c>
      <c r="N25" s="209">
        <f t="shared" si="0"/>
        <v>299453.04999999993</v>
      </c>
      <c r="O25" s="209">
        <f t="shared" si="1"/>
        <v>4341.9022270114929</v>
      </c>
      <c r="P25" s="209">
        <f t="shared" si="2"/>
        <v>15703.65000000014</v>
      </c>
      <c r="Q25" s="209">
        <f t="shared" si="3"/>
        <v>260.26346982758776</v>
      </c>
    </row>
    <row r="26" spans="1:21" x14ac:dyDescent="0.25">
      <c r="A26" s="209" t="s">
        <v>38</v>
      </c>
      <c r="B26" s="209">
        <v>1304927.81</v>
      </c>
      <c r="C26" s="209">
        <v>8364.9218589743596</v>
      </c>
      <c r="D26" s="209">
        <v>-211024.80999999982</v>
      </c>
      <c r="E26" s="209">
        <v>-1352.72314102564</v>
      </c>
      <c r="G26" s="209" t="s">
        <v>38</v>
      </c>
      <c r="H26" s="209">
        <v>1218430.55</v>
      </c>
      <c r="I26" s="209">
        <v>8232.6388513513521</v>
      </c>
      <c r="J26" s="209">
        <v>-323523.36999999988</v>
      </c>
      <c r="K26" s="209">
        <v>-2185.9687162162154</v>
      </c>
      <c r="M26" s="209" t="s">
        <v>38</v>
      </c>
      <c r="N26" s="209">
        <f t="shared" si="0"/>
        <v>86497.260000000009</v>
      </c>
      <c r="O26" s="209">
        <f t="shared" si="1"/>
        <v>132.28300762300751</v>
      </c>
      <c r="P26" s="209">
        <f t="shared" si="2"/>
        <v>112498.56000000006</v>
      </c>
      <c r="Q26" s="209">
        <f t="shared" si="3"/>
        <v>833.24557519057544</v>
      </c>
    </row>
    <row r="27" spans="1:21" x14ac:dyDescent="0.25">
      <c r="A27" s="209" t="s">
        <v>18</v>
      </c>
      <c r="B27" s="209">
        <v>4608813.3499999996</v>
      </c>
      <c r="C27" s="209">
        <v>9036.8889215686268</v>
      </c>
      <c r="D27" s="209">
        <v>1427041.8800000008</v>
      </c>
      <c r="E27" s="209">
        <v>2798.1213333333349</v>
      </c>
      <c r="G27" s="209" t="s">
        <v>18</v>
      </c>
      <c r="H27" s="209">
        <v>4296735.43</v>
      </c>
      <c r="I27" s="209">
        <v>8294.8560424710413</v>
      </c>
      <c r="J27" s="209">
        <v>1349453.5100000002</v>
      </c>
      <c r="K27" s="209">
        <v>2605.1226061776065</v>
      </c>
      <c r="M27" s="209" t="s">
        <v>18</v>
      </c>
      <c r="N27" s="209">
        <f t="shared" si="0"/>
        <v>312077.91999999993</v>
      </c>
      <c r="O27" s="209">
        <f t="shared" si="1"/>
        <v>742.03287909758546</v>
      </c>
      <c r="P27" s="209">
        <f t="shared" si="2"/>
        <v>77588.370000000577</v>
      </c>
      <c r="Q27" s="209">
        <f t="shared" si="3"/>
        <v>192.99872715572837</v>
      </c>
    </row>
    <row r="28" spans="1:21" x14ac:dyDescent="0.25">
      <c r="A28" s="209" t="s">
        <v>40</v>
      </c>
      <c r="B28" s="209">
        <v>7610270.8499999996</v>
      </c>
      <c r="C28" s="209">
        <v>10794.710425531914</v>
      </c>
      <c r="D28" s="209">
        <v>5732641.0899999999</v>
      </c>
      <c r="E28" s="209">
        <v>8131.4058014184393</v>
      </c>
      <c r="G28" s="209" t="s">
        <v>40</v>
      </c>
      <c r="H28" s="209">
        <v>7161605.1599999992</v>
      </c>
      <c r="I28" s="209">
        <v>10216.269843081311</v>
      </c>
      <c r="J28" s="209">
        <v>4615930.29</v>
      </c>
      <c r="K28" s="209">
        <v>6584.7793009985735</v>
      </c>
      <c r="M28" s="209" t="s">
        <v>40</v>
      </c>
      <c r="N28" s="209">
        <f t="shared" si="0"/>
        <v>448665.69000000041</v>
      </c>
      <c r="O28" s="209">
        <f t="shared" si="1"/>
        <v>578.44058245060296</v>
      </c>
      <c r="P28" s="209">
        <f t="shared" si="2"/>
        <v>1116710.7999999998</v>
      </c>
      <c r="Q28" s="209">
        <f t="shared" si="3"/>
        <v>1546.6265004198658</v>
      </c>
    </row>
    <row r="29" spans="1:21" x14ac:dyDescent="0.25">
      <c r="A29" s="209" t="s">
        <v>35</v>
      </c>
      <c r="B29" s="209">
        <v>3903441.63</v>
      </c>
      <c r="C29" s="209">
        <v>7084.286079854809</v>
      </c>
      <c r="D29" s="209">
        <v>2011074.1099999999</v>
      </c>
      <c r="E29" s="209">
        <v>3649.8622686025406</v>
      </c>
      <c r="G29" s="209" t="s">
        <v>35</v>
      </c>
      <c r="H29" s="209">
        <v>3750609.31</v>
      </c>
      <c r="I29" s="209">
        <v>6650.0165070921985</v>
      </c>
      <c r="J29" s="209">
        <v>1426544.4699999997</v>
      </c>
      <c r="K29" s="209">
        <v>2529.3341666666661</v>
      </c>
      <c r="M29" s="209" t="s">
        <v>35</v>
      </c>
      <c r="N29" s="209">
        <f t="shared" si="0"/>
        <v>152832.31999999983</v>
      </c>
      <c r="O29" s="209">
        <f t="shared" si="1"/>
        <v>434.26957276261055</v>
      </c>
      <c r="P29" s="209">
        <f t="shared" si="2"/>
        <v>584529.64000000013</v>
      </c>
      <c r="Q29" s="209">
        <f t="shared" si="3"/>
        <v>1120.5281019358745</v>
      </c>
    </row>
    <row r="30" spans="1:21" x14ac:dyDescent="0.25">
      <c r="A30" s="209" t="s">
        <v>7</v>
      </c>
      <c r="B30" s="209">
        <v>972078.66999999993</v>
      </c>
      <c r="C30" s="209">
        <v>1902.3065949119373</v>
      </c>
      <c r="D30" s="209">
        <v>-2267097.36</v>
      </c>
      <c r="E30" s="209">
        <v>-4436.5897455968689</v>
      </c>
      <c r="G30" s="209" t="s">
        <v>7</v>
      </c>
      <c r="H30" s="209">
        <v>1159077.93</v>
      </c>
      <c r="I30" s="209">
        <v>2207.7674857142856</v>
      </c>
      <c r="J30" s="209">
        <v>-2814009.3600000003</v>
      </c>
      <c r="K30" s="209">
        <v>-5360.0178285714292</v>
      </c>
      <c r="M30" s="209" t="s">
        <v>7</v>
      </c>
      <c r="N30" s="209">
        <f t="shared" si="0"/>
        <v>-186999.26</v>
      </c>
      <c r="O30" s="209">
        <f t="shared" si="1"/>
        <v>-305.46089080234833</v>
      </c>
      <c r="P30" s="209">
        <f t="shared" si="2"/>
        <v>546912.00000000047</v>
      </c>
      <c r="Q30" s="209">
        <f t="shared" si="3"/>
        <v>923.42808297456031</v>
      </c>
    </row>
    <row r="31" spans="1:21" x14ac:dyDescent="0.25">
      <c r="A31" s="209" t="s">
        <v>54</v>
      </c>
      <c r="B31" s="209">
        <v>5453381.3700000001</v>
      </c>
      <c r="C31" s="209">
        <v>2867.1826340694006</v>
      </c>
      <c r="D31" s="209">
        <v>-2397710.830000001</v>
      </c>
      <c r="E31" s="209">
        <v>-1260.6260935856999</v>
      </c>
      <c r="G31" s="209" t="s">
        <v>54</v>
      </c>
      <c r="H31" s="209">
        <v>6404302.0600000005</v>
      </c>
      <c r="I31" s="209">
        <v>3354.7941644840234</v>
      </c>
      <c r="J31" s="209">
        <v>-1433431.5900000008</v>
      </c>
      <c r="K31" s="209">
        <v>-750.88087480356251</v>
      </c>
      <c r="M31" s="209" t="s">
        <v>54</v>
      </c>
      <c r="N31" s="209">
        <f t="shared" si="0"/>
        <v>-950920.69000000041</v>
      </c>
      <c r="O31" s="209">
        <f t="shared" si="1"/>
        <v>-487.61153041462285</v>
      </c>
      <c r="P31" s="209">
        <f t="shared" si="2"/>
        <v>-964279.24000000022</v>
      </c>
      <c r="Q31" s="209">
        <f t="shared" si="3"/>
        <v>-509.74521878213739</v>
      </c>
    </row>
    <row r="32" spans="1:21" x14ac:dyDescent="0.25">
      <c r="A32" s="209" t="s">
        <v>20</v>
      </c>
      <c r="B32" s="209">
        <v>16154715.800000001</v>
      </c>
      <c r="C32" s="209">
        <v>6273.6760388349521</v>
      </c>
      <c r="D32" s="209">
        <v>7074721.7599999998</v>
      </c>
      <c r="E32" s="209">
        <v>2747.4647611650485</v>
      </c>
      <c r="G32" s="209" t="s">
        <v>20</v>
      </c>
      <c r="H32" s="209">
        <v>16877793.98</v>
      </c>
      <c r="I32" s="209">
        <v>6541.7806124031013</v>
      </c>
      <c r="J32" s="209">
        <v>8313209.2300000023</v>
      </c>
      <c r="K32" s="209">
        <v>3222.1741201550399</v>
      </c>
      <c r="M32" s="209" t="s">
        <v>20</v>
      </c>
      <c r="N32" s="209">
        <f t="shared" si="0"/>
        <v>-723078.1799999997</v>
      </c>
      <c r="O32" s="209">
        <f t="shared" si="1"/>
        <v>-268.10457356814914</v>
      </c>
      <c r="P32" s="209">
        <f t="shared" si="2"/>
        <v>-1238487.4700000025</v>
      </c>
      <c r="Q32" s="209">
        <f t="shared" si="3"/>
        <v>-474.70935898999142</v>
      </c>
    </row>
    <row r="33" spans="1:17" x14ac:dyDescent="0.25">
      <c r="A33" s="209" t="s">
        <v>6</v>
      </c>
      <c r="B33" s="209">
        <v>1609645.3</v>
      </c>
      <c r="C33" s="209">
        <v>7059.8478070175443</v>
      </c>
      <c r="D33" s="209">
        <v>-234773.74</v>
      </c>
      <c r="E33" s="209">
        <v>-1029.7093859649121</v>
      </c>
      <c r="G33" s="209" t="s">
        <v>6</v>
      </c>
      <c r="H33" s="209">
        <v>1682030.3399999999</v>
      </c>
      <c r="I33" s="209">
        <v>7576.7132432432427</v>
      </c>
      <c r="J33" s="209">
        <v>-88268.129999999655</v>
      </c>
      <c r="K33" s="209">
        <v>-397.60418918918765</v>
      </c>
      <c r="M33" s="209" t="s">
        <v>6</v>
      </c>
      <c r="N33" s="209">
        <f t="shared" si="0"/>
        <v>-72385.039999999804</v>
      </c>
      <c r="O33" s="209">
        <f t="shared" si="1"/>
        <v>-516.86543622569843</v>
      </c>
      <c r="P33" s="209">
        <f t="shared" si="2"/>
        <v>-146505.61000000034</v>
      </c>
      <c r="Q33" s="209">
        <f t="shared" si="3"/>
        <v>-632.10519677572449</v>
      </c>
    </row>
    <row r="34" spans="1:17" x14ac:dyDescent="0.25">
      <c r="A34" s="209" t="s">
        <v>33</v>
      </c>
      <c r="B34" s="209">
        <v>863363.16</v>
      </c>
      <c r="C34" s="209">
        <v>7316.6369491525429</v>
      </c>
      <c r="D34" s="209">
        <v>-1178728.1100000001</v>
      </c>
      <c r="E34" s="209">
        <v>-9989.2212711864413</v>
      </c>
      <c r="G34" s="209" t="s">
        <v>33</v>
      </c>
      <c r="H34" s="209">
        <v>1032153.5</v>
      </c>
      <c r="I34" s="209">
        <v>8001.1899224806202</v>
      </c>
      <c r="J34" s="209">
        <v>-1005628.19</v>
      </c>
      <c r="K34" s="209">
        <v>-7795.5673643410846</v>
      </c>
      <c r="M34" s="209" t="s">
        <v>33</v>
      </c>
      <c r="N34" s="209">
        <f t="shared" si="0"/>
        <v>-168790.33999999997</v>
      </c>
      <c r="O34" s="209">
        <f t="shared" si="1"/>
        <v>-684.55297332807731</v>
      </c>
      <c r="P34" s="209">
        <f t="shared" si="2"/>
        <v>-173099.92000000016</v>
      </c>
      <c r="Q34" s="209">
        <f t="shared" si="3"/>
        <v>-2193.6539068453567</v>
      </c>
    </row>
    <row r="35" spans="1:17" x14ac:dyDescent="0.25">
      <c r="A35" s="209" t="s">
        <v>51</v>
      </c>
      <c r="B35" s="209">
        <v>17609687.100000001</v>
      </c>
      <c r="C35" s="209">
        <v>9356.9006907545172</v>
      </c>
      <c r="D35" s="209">
        <v>11642148.41</v>
      </c>
      <c r="E35" s="209">
        <v>6186.0512274176408</v>
      </c>
      <c r="G35" s="209" t="s">
        <v>51</v>
      </c>
      <c r="H35" s="209">
        <v>18004708.100000001</v>
      </c>
      <c r="I35" s="209">
        <v>9521.2628767847709</v>
      </c>
      <c r="J35" s="209">
        <v>12776514.859999999</v>
      </c>
      <c r="K35" s="209">
        <v>6756.4859122157586</v>
      </c>
      <c r="M35" s="209" t="s">
        <v>51</v>
      </c>
      <c r="N35" s="209">
        <f t="shared" si="0"/>
        <v>-395021</v>
      </c>
      <c r="O35" s="209">
        <f t="shared" si="1"/>
        <v>-164.36218603025372</v>
      </c>
      <c r="P35" s="209">
        <f t="shared" si="2"/>
        <v>-1134366.4499999993</v>
      </c>
      <c r="Q35" s="209">
        <f t="shared" si="3"/>
        <v>-570.43468479811781</v>
      </c>
    </row>
    <row r="36" spans="1:17" x14ac:dyDescent="0.25">
      <c r="A36" s="209" t="s">
        <v>13</v>
      </c>
      <c r="B36" s="209">
        <v>8847212.5500000007</v>
      </c>
      <c r="C36" s="209">
        <v>7941.8425044883306</v>
      </c>
      <c r="D36" s="209">
        <v>3685339.5900000008</v>
      </c>
      <c r="E36" s="209">
        <v>3308.2042998204674</v>
      </c>
      <c r="G36" s="209" t="s">
        <v>13</v>
      </c>
      <c r="H36" s="209">
        <v>9560475.8900000006</v>
      </c>
      <c r="I36" s="209">
        <v>8490.6535435168753</v>
      </c>
      <c r="J36" s="209">
        <v>4295688.8199999994</v>
      </c>
      <c r="K36" s="209">
        <v>3814.9989520426284</v>
      </c>
      <c r="M36" s="209" t="s">
        <v>13</v>
      </c>
      <c r="N36" s="209">
        <f t="shared" si="0"/>
        <v>-713263.33999999985</v>
      </c>
      <c r="O36" s="209">
        <f t="shared" si="1"/>
        <v>-548.81103902854466</v>
      </c>
      <c r="P36" s="209">
        <f t="shared" si="2"/>
        <v>-610349.22999999858</v>
      </c>
      <c r="Q36" s="209">
        <f t="shared" si="3"/>
        <v>-506.79465222216095</v>
      </c>
    </row>
    <row r="37" spans="1:17" x14ac:dyDescent="0.25">
      <c r="A37" s="209" t="s">
        <v>31</v>
      </c>
      <c r="B37" s="209">
        <v>11590493.5</v>
      </c>
      <c r="C37" s="209">
        <v>9523.8237469186515</v>
      </c>
      <c r="D37" s="209">
        <v>6512358.330000001</v>
      </c>
      <c r="E37" s="209">
        <v>5351.1572144617921</v>
      </c>
      <c r="G37" s="209" t="s">
        <v>31</v>
      </c>
      <c r="H37" s="209">
        <v>11290231.99</v>
      </c>
      <c r="I37" s="209">
        <v>9216.5159102040816</v>
      </c>
      <c r="J37" s="209">
        <v>6419097.7300000004</v>
      </c>
      <c r="K37" s="209">
        <v>5240.079779591837</v>
      </c>
      <c r="M37" s="209" t="s">
        <v>31</v>
      </c>
      <c r="N37" s="209">
        <f t="shared" si="0"/>
        <v>300261.50999999978</v>
      </c>
      <c r="O37" s="209">
        <f t="shared" si="1"/>
        <v>307.30783671456993</v>
      </c>
      <c r="P37" s="209">
        <f t="shared" si="2"/>
        <v>93260.600000000559</v>
      </c>
      <c r="Q37" s="209">
        <f t="shared" si="3"/>
        <v>111.07743486995514</v>
      </c>
    </row>
    <row r="38" spans="1:17" x14ac:dyDescent="0.25">
      <c r="A38" s="209" t="s">
        <v>28</v>
      </c>
      <c r="B38" s="209">
        <v>1403451.52</v>
      </c>
      <c r="C38" s="209">
        <v>11995.312136752136</v>
      </c>
      <c r="D38" s="209">
        <v>-81076.300000000047</v>
      </c>
      <c r="E38" s="209">
        <v>-692.95982905982942</v>
      </c>
      <c r="G38" s="209" t="s">
        <v>28</v>
      </c>
      <c r="H38" s="209">
        <v>1609835.59</v>
      </c>
      <c r="I38" s="209">
        <v>13759.278547008547</v>
      </c>
      <c r="J38" s="209">
        <v>-68973.139999999898</v>
      </c>
      <c r="K38" s="209">
        <v>-589.51401709401625</v>
      </c>
      <c r="M38" s="209" t="s">
        <v>28</v>
      </c>
      <c r="N38" s="209">
        <f t="shared" si="0"/>
        <v>-206384.07000000007</v>
      </c>
      <c r="O38" s="209">
        <f t="shared" si="1"/>
        <v>-1763.9664102564111</v>
      </c>
      <c r="P38" s="209">
        <f t="shared" si="2"/>
        <v>-12103.160000000149</v>
      </c>
      <c r="Q38" s="209">
        <f t="shared" si="3"/>
        <v>-103.44581196581316</v>
      </c>
    </row>
    <row r="39" spans="1:17" x14ac:dyDescent="0.25">
      <c r="A39" s="209" t="s">
        <v>25</v>
      </c>
      <c r="B39" s="209">
        <v>8994469.7599999998</v>
      </c>
      <c r="C39" s="209">
        <v>7464.2902572614103</v>
      </c>
      <c r="D39" s="209">
        <v>-5341469.129999999</v>
      </c>
      <c r="E39" s="209">
        <v>-4432.7544647302893</v>
      </c>
      <c r="G39" s="209" t="s">
        <v>25</v>
      </c>
      <c r="H39" s="209">
        <v>9467167.8599999994</v>
      </c>
      <c r="I39" s="209">
        <v>7989.1711898734175</v>
      </c>
      <c r="J39" s="209">
        <v>-4253300.6399999987</v>
      </c>
      <c r="K39" s="209">
        <v>-3589.2832405063282</v>
      </c>
      <c r="M39" s="209" t="s">
        <v>25</v>
      </c>
      <c r="N39" s="209">
        <f t="shared" si="0"/>
        <v>-472698.09999999963</v>
      </c>
      <c r="O39" s="209">
        <f t="shared" si="1"/>
        <v>-524.8809326120072</v>
      </c>
      <c r="P39" s="209">
        <f t="shared" si="2"/>
        <v>-1088168.4900000002</v>
      </c>
      <c r="Q39" s="209">
        <f t="shared" si="3"/>
        <v>-843.47122422396114</v>
      </c>
    </row>
    <row r="40" spans="1:17" x14ac:dyDescent="0.25">
      <c r="A40" s="209" t="s">
        <v>47</v>
      </c>
      <c r="B40" s="209">
        <v>5282352.57</v>
      </c>
      <c r="C40" s="209">
        <v>8451.7641120000008</v>
      </c>
      <c r="D40" s="209">
        <v>1986975.6799999997</v>
      </c>
      <c r="E40" s="209">
        <v>3179.1610879999994</v>
      </c>
      <c r="G40" s="209" t="s">
        <v>47</v>
      </c>
      <c r="H40" s="209">
        <v>5060879.72</v>
      </c>
      <c r="I40" s="209">
        <v>7882.9902180685358</v>
      </c>
      <c r="J40" s="209">
        <v>1394899.9899999998</v>
      </c>
      <c r="K40" s="209">
        <v>2172.7414174454825</v>
      </c>
      <c r="M40" s="209" t="s">
        <v>47</v>
      </c>
      <c r="N40" s="209">
        <f t="shared" si="0"/>
        <v>221472.85000000056</v>
      </c>
      <c r="O40" s="209">
        <f t="shared" si="1"/>
        <v>568.77389393146495</v>
      </c>
      <c r="P40" s="209">
        <f t="shared" si="2"/>
        <v>592075.68999999994</v>
      </c>
      <c r="Q40" s="209">
        <f t="shared" si="3"/>
        <v>1006.4196705545169</v>
      </c>
    </row>
    <row r="41" spans="1:17" x14ac:dyDescent="0.25">
      <c r="A41" s="209" t="s">
        <v>43</v>
      </c>
      <c r="B41" s="209">
        <v>4714240.3000000007</v>
      </c>
      <c r="C41" s="209">
        <v>7471.0622820919189</v>
      </c>
      <c r="D41" s="209">
        <v>2313637.5000000005</v>
      </c>
      <c r="E41" s="209">
        <v>3666.6204437400957</v>
      </c>
      <c r="G41" s="209" t="s">
        <v>43</v>
      </c>
      <c r="H41" s="209">
        <v>4084166.64</v>
      </c>
      <c r="I41" s="209">
        <v>6452.08</v>
      </c>
      <c r="J41" s="209">
        <v>1260354.7200000002</v>
      </c>
      <c r="K41" s="209">
        <v>1991.0817061611378</v>
      </c>
      <c r="M41" s="209" t="s">
        <v>43</v>
      </c>
      <c r="N41" s="209">
        <f t="shared" si="0"/>
        <v>630073.66000000061</v>
      </c>
      <c r="O41" s="209">
        <f t="shared" si="1"/>
        <v>1018.9822820919189</v>
      </c>
      <c r="P41" s="209">
        <f t="shared" si="2"/>
        <v>1053282.7800000003</v>
      </c>
      <c r="Q41" s="209">
        <f t="shared" si="3"/>
        <v>1675.5387375789578</v>
      </c>
    </row>
    <row r="42" spans="1:17" x14ac:dyDescent="0.25">
      <c r="A42" s="209" t="s">
        <v>36</v>
      </c>
      <c r="B42" s="209">
        <v>10428533.609999999</v>
      </c>
      <c r="C42" s="209">
        <v>8179.2420470588231</v>
      </c>
      <c r="D42" s="209">
        <v>474934.74999999814</v>
      </c>
      <c r="E42" s="209">
        <v>372.49784313725343</v>
      </c>
      <c r="G42" s="209" t="s">
        <v>36</v>
      </c>
      <c r="H42" s="209">
        <v>11258543.550000001</v>
      </c>
      <c r="I42" s="209">
        <v>8768.3360981308415</v>
      </c>
      <c r="J42" s="209">
        <v>-309867.80999999866</v>
      </c>
      <c r="K42" s="209">
        <v>-241.3300700934569</v>
      </c>
      <c r="M42" s="209" t="s">
        <v>36</v>
      </c>
      <c r="N42" s="209">
        <f t="shared" si="0"/>
        <v>-830009.94000000134</v>
      </c>
      <c r="O42" s="209">
        <f t="shared" si="1"/>
        <v>-589.09405107201837</v>
      </c>
      <c r="P42" s="209">
        <f t="shared" si="2"/>
        <v>784802.5599999968</v>
      </c>
      <c r="Q42" s="209">
        <f t="shared" si="3"/>
        <v>613.82791323071035</v>
      </c>
    </row>
    <row r="43" spans="1:17" x14ac:dyDescent="0.25">
      <c r="A43" s="209" t="s">
        <v>50</v>
      </c>
      <c r="B43" s="209">
        <v>5638389.4799999995</v>
      </c>
      <c r="C43" s="209">
        <v>7852.9101392757657</v>
      </c>
      <c r="D43" s="209">
        <v>3098658.07</v>
      </c>
      <c r="E43" s="209">
        <v>4315.6797632311973</v>
      </c>
      <c r="G43" s="209" t="s">
        <v>50</v>
      </c>
      <c r="H43" s="209">
        <v>5676255.4499999993</v>
      </c>
      <c r="I43" s="209">
        <v>7765.055335157318</v>
      </c>
      <c r="J43" s="209">
        <v>3086864.3399999994</v>
      </c>
      <c r="K43" s="209">
        <v>4222.796634746921</v>
      </c>
      <c r="M43" s="209" t="s">
        <v>50</v>
      </c>
      <c r="N43" s="209">
        <f t="shared" si="0"/>
        <v>-37865.969999999739</v>
      </c>
      <c r="O43" s="209">
        <f t="shared" si="1"/>
        <v>87.854804118447646</v>
      </c>
      <c r="P43" s="209">
        <f t="shared" si="2"/>
        <v>11793.730000000447</v>
      </c>
      <c r="Q43" s="209">
        <f t="shared" si="3"/>
        <v>92.883128484276313</v>
      </c>
    </row>
    <row r="44" spans="1:17" x14ac:dyDescent="0.25">
      <c r="A44" s="209" t="s">
        <v>8</v>
      </c>
      <c r="B44" s="209">
        <v>9570422.3900000006</v>
      </c>
      <c r="C44" s="209">
        <v>9401.2007760314355</v>
      </c>
      <c r="D44" s="209">
        <v>5842659.1600000001</v>
      </c>
      <c r="E44" s="209">
        <v>5739.3508447937129</v>
      </c>
      <c r="G44" s="209" t="s">
        <v>8</v>
      </c>
      <c r="H44" s="209">
        <v>8931872.6600000001</v>
      </c>
      <c r="I44" s="209">
        <v>8791.2132480314958</v>
      </c>
      <c r="J44" s="209">
        <v>5096750.43</v>
      </c>
      <c r="K44" s="209">
        <v>5016.4866437007868</v>
      </c>
      <c r="M44" s="209" t="s">
        <v>8</v>
      </c>
      <c r="N44" s="209">
        <f t="shared" si="0"/>
        <v>638549.73000000045</v>
      </c>
      <c r="O44" s="209">
        <f t="shared" si="1"/>
        <v>609.98752799993963</v>
      </c>
      <c r="P44" s="209">
        <f t="shared" si="2"/>
        <v>745908.73000000045</v>
      </c>
      <c r="Q44" s="209">
        <f t="shared" si="3"/>
        <v>722.86420109292612</v>
      </c>
    </row>
    <row r="45" spans="1:17" x14ac:dyDescent="0.25">
      <c r="A45" s="209" t="s">
        <v>23</v>
      </c>
      <c r="B45" s="209">
        <v>1892477.35</v>
      </c>
      <c r="C45" s="209">
        <v>6458.9670648464171</v>
      </c>
      <c r="D45" s="209">
        <v>-735043.07000000007</v>
      </c>
      <c r="E45" s="209">
        <v>-2508.6794197952222</v>
      </c>
      <c r="G45" s="209" t="s">
        <v>23</v>
      </c>
      <c r="H45" s="209">
        <v>1867774.15</v>
      </c>
      <c r="I45" s="209">
        <v>6143.9939144736836</v>
      </c>
      <c r="J45" s="209">
        <v>-1089984.3500000006</v>
      </c>
      <c r="K45" s="209">
        <v>-3585.4748355263177</v>
      </c>
      <c r="M45" s="209" t="s">
        <v>23</v>
      </c>
      <c r="N45" s="209">
        <f t="shared" si="0"/>
        <v>24703.200000000186</v>
      </c>
      <c r="O45" s="209">
        <f t="shared" si="1"/>
        <v>314.97315037273347</v>
      </c>
      <c r="P45" s="209">
        <f t="shared" si="2"/>
        <v>354941.28000000049</v>
      </c>
      <c r="Q45" s="209">
        <f t="shared" si="3"/>
        <v>1076.7954157310955</v>
      </c>
    </row>
    <row r="46" spans="1:17" x14ac:dyDescent="0.25">
      <c r="A46" s="209" t="s">
        <v>9</v>
      </c>
      <c r="B46" s="209">
        <v>13471968.370000001</v>
      </c>
      <c r="C46" s="209">
        <v>5532.6358809034909</v>
      </c>
      <c r="D46" s="209">
        <v>8692321.1499999985</v>
      </c>
      <c r="E46" s="209">
        <v>3569.7417453798762</v>
      </c>
      <c r="G46" s="209" t="s">
        <v>9</v>
      </c>
      <c r="H46" s="209">
        <v>13098682.91</v>
      </c>
      <c r="I46" s="209">
        <v>5430.631388888889</v>
      </c>
      <c r="J46" s="209">
        <v>7718740.75</v>
      </c>
      <c r="K46" s="209">
        <v>3200.1412728026535</v>
      </c>
      <c r="M46" s="209" t="s">
        <v>9</v>
      </c>
      <c r="N46" s="209">
        <f t="shared" si="0"/>
        <v>373285.46000000089</v>
      </c>
      <c r="O46" s="209">
        <f t="shared" si="1"/>
        <v>102.00449201460196</v>
      </c>
      <c r="P46" s="209">
        <f t="shared" si="2"/>
        <v>973580.39999999851</v>
      </c>
      <c r="Q46" s="209">
        <f t="shared" si="3"/>
        <v>369.60047257722272</v>
      </c>
    </row>
    <row r="47" spans="1:17" x14ac:dyDescent="0.25">
      <c r="A47" s="209" t="s">
        <v>61</v>
      </c>
      <c r="B47" s="209">
        <v>6026726</v>
      </c>
      <c r="C47" s="209">
        <v>7667.5903307888038</v>
      </c>
      <c r="D47" s="209">
        <v>2759687.709999999</v>
      </c>
      <c r="E47" s="209">
        <v>3511.0530661577595</v>
      </c>
      <c r="G47" s="209" t="s">
        <v>61</v>
      </c>
      <c r="H47" s="209">
        <v>5987581.8100000005</v>
      </c>
      <c r="I47" s="209">
        <v>8146.3698095238105</v>
      </c>
      <c r="J47" s="209">
        <v>2805265.74</v>
      </c>
      <c r="K47" s="209">
        <v>3816.6880816326534</v>
      </c>
      <c r="M47" s="209" t="s">
        <v>61</v>
      </c>
      <c r="N47" s="209">
        <f t="shared" si="0"/>
        <v>39144.189999999478</v>
      </c>
      <c r="O47" s="209">
        <f t="shared" si="1"/>
        <v>-478.77947873500671</v>
      </c>
      <c r="P47" s="209">
        <f t="shared" si="2"/>
        <v>-45578.030000001192</v>
      </c>
      <c r="Q47" s="209">
        <f t="shared" si="3"/>
        <v>-305.63501547489386</v>
      </c>
    </row>
    <row r="48" spans="1:17" x14ac:dyDescent="0.25">
      <c r="A48" s="209" t="s">
        <v>45</v>
      </c>
      <c r="B48" s="209">
        <v>649792.4</v>
      </c>
      <c r="C48" s="209">
        <v>3531.4804347826089</v>
      </c>
      <c r="D48" s="209">
        <v>208004.44000000006</v>
      </c>
      <c r="E48" s="209">
        <v>1130.4589130434786</v>
      </c>
      <c r="G48" s="209" t="s">
        <v>45</v>
      </c>
      <c r="H48" s="209">
        <v>704845.53</v>
      </c>
      <c r="I48" s="209">
        <v>3809.9758378378378</v>
      </c>
      <c r="J48" s="209">
        <v>189759.61</v>
      </c>
      <c r="K48" s="209">
        <v>1025.7276216216214</v>
      </c>
      <c r="M48" s="209" t="s">
        <v>45</v>
      </c>
      <c r="N48" s="209">
        <f t="shared" si="0"/>
        <v>-55053.130000000005</v>
      </c>
      <c r="O48" s="209">
        <f t="shared" si="1"/>
        <v>-278.49540305522896</v>
      </c>
      <c r="P48" s="209">
        <f t="shared" si="2"/>
        <v>18244.830000000075</v>
      </c>
      <c r="Q48" s="209">
        <f t="shared" si="3"/>
        <v>104.73129142185712</v>
      </c>
    </row>
    <row r="49" spans="1:17" x14ac:dyDescent="0.25">
      <c r="A49" s="209" t="s">
        <v>34</v>
      </c>
      <c r="B49" s="209">
        <v>2023842.33</v>
      </c>
      <c r="C49" s="209">
        <v>6077.6045945945953</v>
      </c>
      <c r="D49" s="209">
        <v>-156279.87000000011</v>
      </c>
      <c r="E49" s="209">
        <v>-469.30891891891923</v>
      </c>
      <c r="G49" s="209" t="s">
        <v>34</v>
      </c>
      <c r="H49" s="209">
        <v>2002898.05</v>
      </c>
      <c r="I49" s="209">
        <v>5890.876617647059</v>
      </c>
      <c r="J49" s="209">
        <v>-637335.59000000032</v>
      </c>
      <c r="K49" s="209">
        <v>-1874.5164411764715</v>
      </c>
      <c r="M49" s="209" t="s">
        <v>34</v>
      </c>
      <c r="N49" s="209">
        <f t="shared" si="0"/>
        <v>20944.280000000028</v>
      </c>
      <c r="O49" s="209">
        <f t="shared" si="1"/>
        <v>186.72797694753626</v>
      </c>
      <c r="P49" s="209">
        <f t="shared" si="2"/>
        <v>481055.7200000002</v>
      </c>
      <c r="Q49" s="209">
        <f t="shared" si="3"/>
        <v>1405.2075222575522</v>
      </c>
    </row>
    <row r="50" spans="1:17" x14ac:dyDescent="0.25">
      <c r="A50" s="209" t="s">
        <v>48</v>
      </c>
      <c r="B50" s="209">
        <v>19520581.41</v>
      </c>
      <c r="C50" s="209">
        <v>11661.040268817205</v>
      </c>
      <c r="D50" s="209">
        <v>15130371.179999998</v>
      </c>
      <c r="E50" s="209">
        <v>9038.4535125448019</v>
      </c>
      <c r="G50" s="209" t="s">
        <v>48</v>
      </c>
      <c r="H50" s="209">
        <v>19789094.379999999</v>
      </c>
      <c r="I50" s="209">
        <v>11661.222380671774</v>
      </c>
      <c r="J50" s="209">
        <v>15312974.43</v>
      </c>
      <c r="K50" s="209">
        <v>9023.5559398939295</v>
      </c>
      <c r="M50" s="209" t="s">
        <v>48</v>
      </c>
      <c r="N50" s="209">
        <f t="shared" si="0"/>
        <v>-268512.96999999881</v>
      </c>
      <c r="O50" s="209">
        <f t="shared" si="1"/>
        <v>-0.18211185456857493</v>
      </c>
      <c r="P50" s="209">
        <f t="shared" si="2"/>
        <v>-182603.25000000186</v>
      </c>
      <c r="Q50" s="209">
        <f t="shared" si="3"/>
        <v>14.897572650872462</v>
      </c>
    </row>
    <row r="51" spans="1:17" x14ac:dyDescent="0.25">
      <c r="A51" s="209" t="s">
        <v>46</v>
      </c>
      <c r="B51" s="209">
        <v>3023471.06</v>
      </c>
      <c r="C51" s="209">
        <v>7732.662557544757</v>
      </c>
      <c r="D51" s="209">
        <v>51593.350000000093</v>
      </c>
      <c r="E51" s="209">
        <v>131.95230179028158</v>
      </c>
      <c r="G51" s="209" t="s">
        <v>46</v>
      </c>
      <c r="H51" s="209">
        <v>2070284.17</v>
      </c>
      <c r="I51" s="209">
        <v>5308.4209487179487</v>
      </c>
      <c r="J51" s="209">
        <v>-884214.48000000021</v>
      </c>
      <c r="K51" s="209">
        <v>-2267.216615384616</v>
      </c>
      <c r="M51" s="209" t="s">
        <v>46</v>
      </c>
      <c r="N51" s="209">
        <f t="shared" si="0"/>
        <v>953186.89000000013</v>
      </c>
      <c r="O51" s="209">
        <f t="shared" si="1"/>
        <v>2424.2416088268083</v>
      </c>
      <c r="P51" s="209">
        <f t="shared" si="2"/>
        <v>935807.83000000031</v>
      </c>
      <c r="Q51" s="209">
        <f t="shared" si="3"/>
        <v>2399.1689171748976</v>
      </c>
    </row>
    <row r="52" spans="1:17" x14ac:dyDescent="0.25">
      <c r="A52" s="209" t="s">
        <v>57</v>
      </c>
      <c r="B52" s="209">
        <v>10935065.559999999</v>
      </c>
      <c r="C52" s="209">
        <v>10394.549011406843</v>
      </c>
      <c r="D52" s="209">
        <v>5751414.4799999986</v>
      </c>
      <c r="E52" s="209">
        <v>5467.1240304182493</v>
      </c>
      <c r="G52" s="209" t="s">
        <v>57</v>
      </c>
      <c r="H52" s="209">
        <v>10358562.43</v>
      </c>
      <c r="I52" s="209">
        <v>9653.8326467847146</v>
      </c>
      <c r="J52" s="209">
        <v>5827342.290000001</v>
      </c>
      <c r="K52" s="209">
        <v>5430.887502329917</v>
      </c>
      <c r="M52" s="209" t="s">
        <v>57</v>
      </c>
      <c r="N52" s="209">
        <f t="shared" si="0"/>
        <v>576503.12999999896</v>
      </c>
      <c r="O52" s="209">
        <f t="shared" si="1"/>
        <v>740.71636462212882</v>
      </c>
      <c r="P52" s="209">
        <f t="shared" si="2"/>
        <v>-75927.810000002384</v>
      </c>
      <c r="Q52" s="209">
        <f t="shared" si="3"/>
        <v>36.236528088332307</v>
      </c>
    </row>
    <row r="53" spans="1:17" x14ac:dyDescent="0.25">
      <c r="A53" s="209" t="s">
        <v>49</v>
      </c>
      <c r="B53" s="209">
        <v>142500</v>
      </c>
      <c r="C53" s="209">
        <v>766.12903225806451</v>
      </c>
      <c r="D53" s="209">
        <v>-341679.31000000011</v>
      </c>
      <c r="E53" s="209">
        <v>-1836.9855376344092</v>
      </c>
      <c r="G53" s="209" t="s">
        <v>49</v>
      </c>
      <c r="H53" s="209">
        <v>219892.5</v>
      </c>
      <c r="I53" s="209">
        <v>1195.0679347826087</v>
      </c>
      <c r="J53" s="209">
        <v>-576498.74</v>
      </c>
      <c r="K53" s="209">
        <v>-3133.1453260869566</v>
      </c>
      <c r="M53" s="209" t="s">
        <v>49</v>
      </c>
      <c r="N53" s="209">
        <f t="shared" si="0"/>
        <v>-77392.5</v>
      </c>
      <c r="O53" s="209">
        <f t="shared" si="1"/>
        <v>-428.93890252454423</v>
      </c>
      <c r="P53" s="209">
        <f t="shared" si="2"/>
        <v>234819.42999999988</v>
      </c>
      <c r="Q53" s="209">
        <f t="shared" si="3"/>
        <v>1296.1597884525474</v>
      </c>
    </row>
    <row r="54" spans="1:17" x14ac:dyDescent="0.25">
      <c r="A54" s="209" t="s">
        <v>15</v>
      </c>
      <c r="B54" s="209">
        <v>69546558.280000001</v>
      </c>
      <c r="C54" s="209">
        <v>10797.478385343891</v>
      </c>
      <c r="D54" s="209">
        <v>45122415.250000007</v>
      </c>
      <c r="E54" s="209">
        <v>7005.4984086322011</v>
      </c>
      <c r="G54" s="209" t="s">
        <v>15</v>
      </c>
      <c r="H54" s="209">
        <v>66904253.960000001</v>
      </c>
      <c r="I54" s="209">
        <v>10347.08536343953</v>
      </c>
      <c r="J54" s="209">
        <v>42123403.110000007</v>
      </c>
      <c r="K54" s="209">
        <v>6514.5999242189928</v>
      </c>
      <c r="M54" s="209" t="s">
        <v>15</v>
      </c>
      <c r="N54" s="209">
        <f t="shared" si="0"/>
        <v>2642304.3200000003</v>
      </c>
      <c r="O54" s="209">
        <f t="shared" si="1"/>
        <v>450.39302190436138</v>
      </c>
      <c r="P54" s="209">
        <f t="shared" si="2"/>
        <v>2999012.1400000006</v>
      </c>
      <c r="Q54" s="209">
        <f t="shared" si="3"/>
        <v>490.89848441320828</v>
      </c>
    </row>
    <row r="55" spans="1:17" x14ac:dyDescent="0.25">
      <c r="A55" s="209" t="s">
        <v>24</v>
      </c>
      <c r="B55" s="209">
        <v>3987825.17</v>
      </c>
      <c r="C55" s="209">
        <v>7303.7091025641021</v>
      </c>
      <c r="D55" s="209">
        <v>1841514.0200000005</v>
      </c>
      <c r="E55" s="209">
        <v>3372.7363003663013</v>
      </c>
      <c r="G55" s="209" t="s">
        <v>24</v>
      </c>
      <c r="H55" s="209">
        <v>4041025.6399999997</v>
      </c>
      <c r="I55" s="209">
        <v>7229.0261896243283</v>
      </c>
      <c r="J55" s="209">
        <v>1980846.71</v>
      </c>
      <c r="K55" s="209">
        <v>3543.5540429338103</v>
      </c>
      <c r="M55" s="209" t="s">
        <v>24</v>
      </c>
      <c r="N55" s="209">
        <f t="shared" si="0"/>
        <v>-53200.469999999739</v>
      </c>
      <c r="O55" s="209">
        <f t="shared" si="1"/>
        <v>74.682912939773814</v>
      </c>
      <c r="P55" s="209">
        <f t="shared" si="2"/>
        <v>-139332.68999999948</v>
      </c>
      <c r="Q55" s="209">
        <f t="shared" si="3"/>
        <v>-170.81774256750896</v>
      </c>
    </row>
    <row r="57" spans="1:17" x14ac:dyDescent="0.25">
      <c r="M57" s="209" t="s">
        <v>839</v>
      </c>
      <c r="N57" s="209">
        <f>N7+N10+N11+N13+N16+N17+N18+N19+N25+N26+N27+N28+N29+N37+N40+N41+N44+N45+N46+N47+N49+N51+N52+N54</f>
        <v>36668095.229999982</v>
      </c>
      <c r="O57" s="209">
        <f>O7+O10+O11+O13+O16+O19+O25+O26+O27+O28+O29+O37+O40+O41+O43+O44+O45+O46+O49+O51+O52+O54+O55</f>
        <v>17589.656901128845</v>
      </c>
      <c r="P57" s="209">
        <f>P4+P7+P8+P10+P11+P12+P13+P14+P19+P21+P22+P25+P26+P27+P28+P29+P30+P37+P40+P41+P42+P43+P44+P45+P46+P48+P49+P51+P53+P54</f>
        <v>25194031.869999994</v>
      </c>
      <c r="Q57" s="209">
        <f>Q4+Q7+Q8+Q10+Q11+Q12+Q13+Q14+Q19+Q20+Q21+Q22+Q25+Q26+Q27+Q28+Q29+Q30+Q37+Q40+Q41+Q42+Q43+Q44+Q45+Q46+Q48+Q49+Q50+Q51+Q52+Q53+Q54</f>
        <v>21372.487087237459</v>
      </c>
    </row>
    <row r="58" spans="1:17" x14ac:dyDescent="0.25">
      <c r="M58" s="209" t="s">
        <v>840</v>
      </c>
      <c r="N58" s="209">
        <f>N3+N4+N5+N6+N8+N9+N12+N14+N15+N20+N21+N22+N23+N24+N30+N31+N32+N33+N34+N35+N36+N38+N39+N42+N43+N48+N50+N53+N55</f>
        <v>-12715920.810000002</v>
      </c>
      <c r="O58" s="209">
        <f>O3+O4+O5+O6+O8+O9++O12+O14+O15+O17+O18+O20+O21+O22+O23+O24+O30+O31+O32+O33+O34+O35+O36+O38+O39+O42+O47+O48+O50+O53</f>
        <v>-13959.666257758387</v>
      </c>
      <c r="P58" s="209">
        <f>P3+P5+P6+P9+P15+P16+P17+P18+P20+P23+P24+P31+P32+P33+P34+P35+P36+P38+P39+P47+P50+P52+P55</f>
        <v>-11967920.160000013</v>
      </c>
      <c r="Q58" s="209">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866</v>
      </c>
      <c r="B2" s="7"/>
    </row>
    <row r="3" spans="1:3" ht="15" customHeight="1" x14ac:dyDescent="0.4">
      <c r="A3" s="6"/>
      <c r="B3" s="7"/>
    </row>
    <row r="4" spans="1:3" ht="15" customHeight="1" thickBot="1" x14ac:dyDescent="0.3">
      <c r="A4" s="7"/>
      <c r="B4" s="86" t="s">
        <v>581</v>
      </c>
    </row>
    <row r="5" spans="1:3" ht="15" customHeight="1" thickBot="1" x14ac:dyDescent="0.45">
      <c r="A5" s="6"/>
      <c r="B5" s="139" t="s">
        <v>23</v>
      </c>
    </row>
    <row r="6" spans="1:3" ht="15" customHeight="1" x14ac:dyDescent="0.25">
      <c r="C6" s="30"/>
    </row>
    <row r="7" spans="1:3" ht="15" customHeight="1" x14ac:dyDescent="0.25">
      <c r="C7" s="140" t="s">
        <v>198</v>
      </c>
    </row>
    <row r="8" spans="1:3" x14ac:dyDescent="0.2">
      <c r="A8" s="8">
        <v>10</v>
      </c>
      <c r="B8" s="8" t="s">
        <v>236</v>
      </c>
      <c r="C8" s="13">
        <f>HLOOKUP($B$5,'5.4 Tableau de l''endettement'!$C$7:$BA$25,2,0)</f>
        <v>2772531.79</v>
      </c>
    </row>
    <row r="9" spans="1:3" x14ac:dyDescent="0.2">
      <c r="C9" s="13"/>
    </row>
    <row r="10" spans="1:3" x14ac:dyDescent="0.2">
      <c r="A10" s="8">
        <v>20</v>
      </c>
      <c r="B10" s="8" t="s">
        <v>248</v>
      </c>
      <c r="C10" s="13">
        <f>HLOOKUP($B$5,'5.4 Tableau de l''endettement'!$C$7:$BA$25,4,0)</f>
        <v>1672271.6099999999</v>
      </c>
    </row>
    <row r="11" spans="1:3" x14ac:dyDescent="0.2">
      <c r="C11" s="13"/>
    </row>
    <row r="12" spans="1:3" x14ac:dyDescent="0.2">
      <c r="A12" s="8">
        <v>200</v>
      </c>
      <c r="B12" s="8" t="s">
        <v>445</v>
      </c>
      <c r="C12" s="13">
        <f>HLOOKUP($B$5,'5.4 Tableau de l''endettement'!$C$7:$BA$25,6,0)</f>
        <v>41249.660000000003</v>
      </c>
    </row>
    <row r="13" spans="1:3" x14ac:dyDescent="0.2">
      <c r="C13" s="13"/>
    </row>
    <row r="14" spans="1:3" x14ac:dyDescent="0.2">
      <c r="A14" s="8">
        <v>201</v>
      </c>
      <c r="B14" s="8" t="s">
        <v>250</v>
      </c>
      <c r="C14" s="13">
        <f>HLOOKUP($B$5,'5.4 Tableau de l''endettement'!$C$7:$BA$25,8,0)</f>
        <v>19300</v>
      </c>
    </row>
    <row r="15" spans="1:3" x14ac:dyDescent="0.2">
      <c r="C15" s="13"/>
    </row>
    <row r="16" spans="1:3" x14ac:dyDescent="0.2">
      <c r="A16" s="8">
        <v>206</v>
      </c>
      <c r="B16" s="8" t="s">
        <v>253</v>
      </c>
      <c r="C16" s="13">
        <f>HLOOKUP($B$5,'5.4 Tableau de l''endettement'!$C$7:$BA$25,10,0)</f>
        <v>1568065</v>
      </c>
    </row>
    <row r="17" spans="1:3" x14ac:dyDescent="0.2">
      <c r="C17" s="13"/>
    </row>
    <row r="18" spans="1:3" x14ac:dyDescent="0.2">
      <c r="A18" s="8">
        <v>2016</v>
      </c>
      <c r="B18" s="8" t="s">
        <v>265</v>
      </c>
      <c r="C18" s="13">
        <f>HLOOKUP($B$5,'5.4 Tableau de l''endettement'!$C$7:$BA$25,12,0)</f>
        <v>0</v>
      </c>
    </row>
    <row r="19" spans="1:3" x14ac:dyDescent="0.2">
      <c r="C19" s="13"/>
    </row>
    <row r="20" spans="1:3" x14ac:dyDescent="0.2">
      <c r="C20" s="13"/>
    </row>
    <row r="21" spans="1:3" ht="15" x14ac:dyDescent="0.25">
      <c r="B21" s="136" t="s">
        <v>623</v>
      </c>
      <c r="C21" s="138">
        <f>HLOOKUP($B$5,'5.4 Tableau de l''endettement'!$C$7:$BA$25,15,0)</f>
        <v>1628614.66</v>
      </c>
    </row>
    <row r="22" spans="1:3" ht="15" x14ac:dyDescent="0.25">
      <c r="B22" s="85" t="s">
        <v>443</v>
      </c>
      <c r="C22" s="107">
        <f>HLOOKUP($B$5,'5.4 Tableau de l''endettement'!$C$7:$BA$25,16,0)</f>
        <v>5186.6708917197448</v>
      </c>
    </row>
    <row r="23" spans="1:3" ht="15" x14ac:dyDescent="0.25">
      <c r="B23" s="7"/>
      <c r="C23" s="13"/>
    </row>
    <row r="24" spans="1:3" ht="15" x14ac:dyDescent="0.25">
      <c r="B24" s="136" t="s">
        <v>624</v>
      </c>
      <c r="C24" s="138">
        <f>HLOOKUP($B$5,'5.4 Tableau de l''endettement'!$C$7:$BA$25,18,0)</f>
        <v>-1100260.1800000002</v>
      </c>
    </row>
    <row r="25" spans="1:3" ht="15" x14ac:dyDescent="0.25">
      <c r="B25" s="85" t="s">
        <v>443</v>
      </c>
      <c r="C25" s="107">
        <f>HLOOKUP($B$5,'5.4 Tableau de l''endettement'!$C$7:$BA$25,19,0)</f>
        <v>-3504.0133121019112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l''endettement'!$C$7:$BA$7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G185"/>
  <sheetViews>
    <sheetView workbookViewId="0">
      <pane xSplit="4" ySplit="4" topLeftCell="BA15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867</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41">
        <v>5</v>
      </c>
      <c r="B5" s="141"/>
      <c r="C5" s="141"/>
      <c r="D5" s="141" t="s">
        <v>189</v>
      </c>
      <c r="E5" s="137">
        <f>E6+E16+E26+E31+E42+E53+E64+E75</f>
        <v>1771946.56</v>
      </c>
      <c r="F5" s="137">
        <f t="shared" ref="F5:BG5" si="0">F6+F16+F26+F31+F42+F53+F64+F75</f>
        <v>65959.149999999994</v>
      </c>
      <c r="G5" s="137">
        <f t="shared" si="0"/>
        <v>39456.93</v>
      </c>
      <c r="H5" s="137">
        <f t="shared" si="0"/>
        <v>41883.599999999999</v>
      </c>
      <c r="I5" s="137">
        <f t="shared" si="0"/>
        <v>5993528.8399999999</v>
      </c>
      <c r="J5" s="137">
        <f t="shared" si="0"/>
        <v>1194129.75</v>
      </c>
      <c r="K5" s="137">
        <f t="shared" si="0"/>
        <v>1533433.82</v>
      </c>
      <c r="L5" s="137">
        <f t="shared" si="0"/>
        <v>14731209.189999999</v>
      </c>
      <c r="M5" s="137">
        <f t="shared" si="0"/>
        <v>2257839.2499999995</v>
      </c>
      <c r="N5" s="137">
        <f t="shared" si="0"/>
        <v>41267.75</v>
      </c>
      <c r="O5" s="137">
        <f t="shared" si="0"/>
        <v>5871184.3699999992</v>
      </c>
      <c r="P5" s="137">
        <f t="shared" si="0"/>
        <v>81241.62000000001</v>
      </c>
      <c r="Q5" s="137">
        <f t="shared" si="0"/>
        <v>26121.05</v>
      </c>
      <c r="R5" s="137">
        <f t="shared" si="0"/>
        <v>571739.03</v>
      </c>
      <c r="S5" s="137">
        <f t="shared" si="0"/>
        <v>18747.150000000001</v>
      </c>
      <c r="T5" s="137">
        <f t="shared" si="0"/>
        <v>40075.75</v>
      </c>
      <c r="U5" s="137">
        <f t="shared" si="0"/>
        <v>98779.16</v>
      </c>
      <c r="V5" s="137">
        <f t="shared" si="0"/>
        <v>13524.55</v>
      </c>
      <c r="W5" s="137">
        <f t="shared" si="0"/>
        <v>1972479.95</v>
      </c>
      <c r="X5" s="137">
        <f t="shared" si="0"/>
        <v>85627.799999999988</v>
      </c>
      <c r="Y5" s="137">
        <f t="shared" si="0"/>
        <v>426067.20000000001</v>
      </c>
      <c r="Z5" s="137">
        <f t="shared" si="0"/>
        <v>1561611.65</v>
      </c>
      <c r="AA5" s="137">
        <f t="shared" si="0"/>
        <v>198530.94999999998</v>
      </c>
      <c r="AB5" s="137">
        <f t="shared" si="0"/>
        <v>105748.1</v>
      </c>
      <c r="AC5" s="137">
        <f t="shared" si="0"/>
        <v>800065.97</v>
      </c>
      <c r="AD5" s="137">
        <f t="shared" si="0"/>
        <v>189251.40000000002</v>
      </c>
      <c r="AE5" s="137">
        <f t="shared" si="0"/>
        <v>255971.95</v>
      </c>
      <c r="AF5" s="137">
        <f t="shared" si="0"/>
        <v>2149930.6599999997</v>
      </c>
      <c r="AG5" s="137">
        <f t="shared" si="0"/>
        <v>933570.84000000008</v>
      </c>
      <c r="AH5" s="137">
        <f t="shared" si="0"/>
        <v>245354.91</v>
      </c>
      <c r="AI5" s="137">
        <f t="shared" si="0"/>
        <v>852018.05</v>
      </c>
      <c r="AJ5" s="137">
        <f t="shared" si="0"/>
        <v>614594.04999999993</v>
      </c>
      <c r="AK5" s="137">
        <f t="shared" si="0"/>
        <v>123521.5</v>
      </c>
      <c r="AL5" s="137">
        <f t="shared" si="0"/>
        <v>1379072.37</v>
      </c>
      <c r="AM5" s="137">
        <f t="shared" si="0"/>
        <v>29611.8</v>
      </c>
      <c r="AN5" s="137">
        <f t="shared" si="0"/>
        <v>1266531.0999999999</v>
      </c>
      <c r="AO5" s="137">
        <f t="shared" si="0"/>
        <v>254076.55</v>
      </c>
      <c r="AP5" s="137">
        <f t="shared" si="0"/>
        <v>1121531.47</v>
      </c>
      <c r="AQ5" s="137">
        <f t="shared" si="0"/>
        <v>881193.7</v>
      </c>
      <c r="AR5" s="137">
        <f t="shared" si="0"/>
        <v>359515.8</v>
      </c>
      <c r="AS5" s="137">
        <f t="shared" si="0"/>
        <v>213352.45</v>
      </c>
      <c r="AT5" s="137">
        <f t="shared" si="0"/>
        <v>307820.15000000002</v>
      </c>
      <c r="AU5" s="137">
        <f t="shared" si="0"/>
        <v>2525481.0500000003</v>
      </c>
      <c r="AV5" s="137">
        <f t="shared" si="0"/>
        <v>428018.12</v>
      </c>
      <c r="AW5" s="137">
        <f t="shared" si="0"/>
        <v>125702.05</v>
      </c>
      <c r="AX5" s="137">
        <f t="shared" si="0"/>
        <v>55879.7</v>
      </c>
      <c r="AY5" s="137">
        <f t="shared" si="0"/>
        <v>662666.80000000005</v>
      </c>
      <c r="AZ5" s="137">
        <f t="shared" si="0"/>
        <v>456466.83</v>
      </c>
      <c r="BA5" s="137">
        <f t="shared" si="0"/>
        <v>395313</v>
      </c>
      <c r="BB5" s="137">
        <f t="shared" si="0"/>
        <v>5194591.42</v>
      </c>
      <c r="BC5" s="137">
        <f t="shared" si="0"/>
        <v>531179.6</v>
      </c>
      <c r="BD5" s="137">
        <f t="shared" si="0"/>
        <v>61094416.460000008</v>
      </c>
      <c r="BE5" s="137">
        <f t="shared" si="0"/>
        <v>36364547.470000006</v>
      </c>
      <c r="BF5" s="137">
        <f t="shared" si="0"/>
        <v>7803749.4800000004</v>
      </c>
      <c r="BG5" s="137">
        <f t="shared" si="0"/>
        <v>16926119.510000002</v>
      </c>
    </row>
    <row r="6" spans="1:59" ht="15" x14ac:dyDescent="0.25">
      <c r="A6" s="16"/>
      <c r="B6" s="85">
        <v>50</v>
      </c>
      <c r="C6" s="85"/>
      <c r="D6" s="85" t="s">
        <v>448</v>
      </c>
      <c r="E6" s="113">
        <f>E7+E8+E9+E10+E11+E12+E13+E14</f>
        <v>1749324.06</v>
      </c>
      <c r="F6" s="113">
        <f t="shared" ref="F6:BC6" si="1">F7+F8+F9+F10+F11+F12+F13+F14</f>
        <v>65959.149999999994</v>
      </c>
      <c r="G6" s="113">
        <f t="shared" si="1"/>
        <v>8586.18</v>
      </c>
      <c r="H6" s="113">
        <f t="shared" si="1"/>
        <v>41883.599999999999</v>
      </c>
      <c r="I6" s="113">
        <f t="shared" si="1"/>
        <v>5993528.8399999999</v>
      </c>
      <c r="J6" s="113">
        <f t="shared" si="1"/>
        <v>1151821.8</v>
      </c>
      <c r="K6" s="113">
        <f t="shared" si="1"/>
        <v>1504271.87</v>
      </c>
      <c r="L6" s="113">
        <f t="shared" si="1"/>
        <v>14639078.229999999</v>
      </c>
      <c r="M6" s="113">
        <f t="shared" si="1"/>
        <v>2219823.5499999993</v>
      </c>
      <c r="N6" s="113">
        <f t="shared" si="1"/>
        <v>0</v>
      </c>
      <c r="O6" s="113">
        <f t="shared" si="1"/>
        <v>5637728.919999999</v>
      </c>
      <c r="P6" s="113">
        <f t="shared" si="1"/>
        <v>81241.62000000001</v>
      </c>
      <c r="Q6" s="113">
        <f t="shared" si="1"/>
        <v>0</v>
      </c>
      <c r="R6" s="113">
        <f t="shared" si="1"/>
        <v>533602.08000000007</v>
      </c>
      <c r="S6" s="113">
        <f t="shared" si="1"/>
        <v>-209.25</v>
      </c>
      <c r="T6" s="113">
        <f t="shared" si="1"/>
        <v>11864.85</v>
      </c>
      <c r="U6" s="113">
        <f t="shared" si="1"/>
        <v>54878.91</v>
      </c>
      <c r="V6" s="113">
        <f t="shared" si="1"/>
        <v>451.25</v>
      </c>
      <c r="W6" s="113">
        <f t="shared" si="1"/>
        <v>1962060</v>
      </c>
      <c r="X6" s="113">
        <f t="shared" si="1"/>
        <v>85527.799999999988</v>
      </c>
      <c r="Y6" s="113">
        <f t="shared" si="1"/>
        <v>401684.7</v>
      </c>
      <c r="Z6" s="113">
        <f t="shared" si="1"/>
        <v>1486007.7999999998</v>
      </c>
      <c r="AA6" s="113">
        <f t="shared" si="1"/>
        <v>181878.44999999998</v>
      </c>
      <c r="AB6" s="113">
        <f t="shared" si="1"/>
        <v>29461.65</v>
      </c>
      <c r="AC6" s="113">
        <f t="shared" si="1"/>
        <v>766773.45</v>
      </c>
      <c r="AD6" s="113">
        <f t="shared" si="1"/>
        <v>148394.85</v>
      </c>
      <c r="AE6" s="113">
        <f t="shared" si="1"/>
        <v>178178</v>
      </c>
      <c r="AF6" s="113">
        <f t="shared" si="1"/>
        <v>2103306.2599999998</v>
      </c>
      <c r="AG6" s="113">
        <f t="shared" si="1"/>
        <v>816965.44000000006</v>
      </c>
      <c r="AH6" s="113">
        <f t="shared" si="1"/>
        <v>210203.26</v>
      </c>
      <c r="AI6" s="113">
        <f t="shared" si="1"/>
        <v>819025.5</v>
      </c>
      <c r="AJ6" s="113">
        <f t="shared" si="1"/>
        <v>541638.79999999993</v>
      </c>
      <c r="AK6" s="113">
        <f t="shared" si="1"/>
        <v>40948.199999999997</v>
      </c>
      <c r="AL6" s="113">
        <f t="shared" si="1"/>
        <v>1363256.07</v>
      </c>
      <c r="AM6" s="113">
        <f t="shared" si="1"/>
        <v>1276.25</v>
      </c>
      <c r="AN6" s="113">
        <f t="shared" si="1"/>
        <v>1266531.0999999999</v>
      </c>
      <c r="AO6" s="113">
        <f t="shared" si="1"/>
        <v>226468</v>
      </c>
      <c r="AP6" s="113">
        <f t="shared" si="1"/>
        <v>1121531.47</v>
      </c>
      <c r="AQ6" s="113">
        <f t="shared" si="1"/>
        <v>667772.9</v>
      </c>
      <c r="AR6" s="113">
        <f t="shared" si="1"/>
        <v>351485.3</v>
      </c>
      <c r="AS6" s="113">
        <f t="shared" si="1"/>
        <v>170057.9</v>
      </c>
      <c r="AT6" s="113">
        <f t="shared" si="1"/>
        <v>296228.95</v>
      </c>
      <c r="AU6" s="113">
        <f t="shared" si="1"/>
        <v>2463093.35</v>
      </c>
      <c r="AV6" s="113">
        <f t="shared" si="1"/>
        <v>402512.87</v>
      </c>
      <c r="AW6" s="113">
        <f t="shared" si="1"/>
        <v>78398.600000000006</v>
      </c>
      <c r="AX6" s="113">
        <f t="shared" si="1"/>
        <v>13983.3</v>
      </c>
      <c r="AY6" s="113">
        <f t="shared" si="1"/>
        <v>280839.05000000005</v>
      </c>
      <c r="AZ6" s="113">
        <f t="shared" si="1"/>
        <v>456466.83</v>
      </c>
      <c r="BA6" s="113">
        <f t="shared" si="1"/>
        <v>245803.75</v>
      </c>
      <c r="BB6" s="113">
        <f t="shared" si="1"/>
        <v>5125783.21</v>
      </c>
      <c r="BC6" s="113">
        <f t="shared" si="1"/>
        <v>531179.6</v>
      </c>
      <c r="BD6" s="113">
        <f t="shared" ref="BD6:BG6" si="2">BD7+BD8+BD9+BD10+BD11+BD12+BD13+BD14</f>
        <v>58528558.320000008</v>
      </c>
      <c r="BE6" s="113">
        <f t="shared" si="2"/>
        <v>35655895.660000004</v>
      </c>
      <c r="BF6" s="113">
        <f t="shared" si="2"/>
        <v>7227407.1600000011</v>
      </c>
      <c r="BG6" s="113">
        <f t="shared" si="2"/>
        <v>15645255.499999998</v>
      </c>
    </row>
    <row r="7" spans="1:59" x14ac:dyDescent="0.2">
      <c r="C7" s="8">
        <v>500</v>
      </c>
      <c r="D7" s="8" t="s">
        <v>450</v>
      </c>
      <c r="E7" s="19">
        <v>0</v>
      </c>
      <c r="F7" s="19">
        <v>0</v>
      </c>
      <c r="G7" s="19">
        <v>0</v>
      </c>
      <c r="H7" s="19">
        <v>0</v>
      </c>
      <c r="I7" s="19">
        <v>31748.45</v>
      </c>
      <c r="J7" s="19">
        <v>0</v>
      </c>
      <c r="K7" s="19">
        <v>0</v>
      </c>
      <c r="L7" s="19">
        <v>387799.4</v>
      </c>
      <c r="M7" s="19">
        <v>24316.7</v>
      </c>
      <c r="N7" s="19">
        <v>0</v>
      </c>
      <c r="O7" s="19">
        <v>0</v>
      </c>
      <c r="P7" s="19">
        <v>421.89</v>
      </c>
      <c r="Q7" s="19">
        <v>0</v>
      </c>
      <c r="R7" s="19">
        <v>0</v>
      </c>
      <c r="S7" s="19">
        <v>0</v>
      </c>
      <c r="T7" s="19">
        <v>0</v>
      </c>
      <c r="U7" s="19">
        <v>0</v>
      </c>
      <c r="V7" s="19">
        <v>0</v>
      </c>
      <c r="W7" s="19">
        <v>43191.75</v>
      </c>
      <c r="X7" s="19">
        <v>0</v>
      </c>
      <c r="Y7" s="19">
        <v>0</v>
      </c>
      <c r="Z7" s="19">
        <v>284318.25</v>
      </c>
      <c r="AA7" s="19">
        <v>0</v>
      </c>
      <c r="AB7" s="19">
        <v>0</v>
      </c>
      <c r="AC7" s="19">
        <v>0</v>
      </c>
      <c r="AD7" s="19">
        <v>0</v>
      </c>
      <c r="AE7" s="19">
        <v>0</v>
      </c>
      <c r="AF7" s="19">
        <v>0</v>
      </c>
      <c r="AG7" s="19">
        <v>30028.400000000001</v>
      </c>
      <c r="AH7" s="19">
        <v>0</v>
      </c>
      <c r="AI7" s="19">
        <v>0</v>
      </c>
      <c r="AJ7" s="19">
        <v>0</v>
      </c>
      <c r="AK7" s="19">
        <v>0</v>
      </c>
      <c r="AL7" s="19">
        <v>35743.25</v>
      </c>
      <c r="AM7" s="19">
        <v>0</v>
      </c>
      <c r="AN7" s="19">
        <v>0</v>
      </c>
      <c r="AO7" s="19">
        <v>0</v>
      </c>
      <c r="AP7" s="19">
        <v>49600</v>
      </c>
      <c r="AQ7" s="19">
        <v>2369.4</v>
      </c>
      <c r="AR7" s="19">
        <v>0</v>
      </c>
      <c r="AS7" s="19">
        <v>1099.2</v>
      </c>
      <c r="AT7" s="19">
        <v>0</v>
      </c>
      <c r="AU7" s="19">
        <v>1540028.55</v>
      </c>
      <c r="AV7" s="19">
        <v>0</v>
      </c>
      <c r="AW7" s="19">
        <v>0</v>
      </c>
      <c r="AX7" s="19">
        <v>0</v>
      </c>
      <c r="AY7" s="19">
        <v>88041.85</v>
      </c>
      <c r="AZ7" s="19">
        <v>646.20000000000005</v>
      </c>
      <c r="BA7" s="19">
        <v>116473.05</v>
      </c>
      <c r="BB7" s="19">
        <v>130772.9</v>
      </c>
      <c r="BC7" s="19">
        <v>0</v>
      </c>
      <c r="BD7" s="19">
        <f t="shared" ref="BD7:BD14" si="3">SUM(E7:BC7)</f>
        <v>2766599.24</v>
      </c>
      <c r="BE7" s="19">
        <f t="shared" ref="BE7:BE14" si="4">SUM(E7:W7)</f>
        <v>487478.19000000006</v>
      </c>
      <c r="BF7" s="19">
        <f t="shared" ref="BF7:BF14" si="5">SUM(X7:AI7)</f>
        <v>314346.65000000002</v>
      </c>
      <c r="BG7" s="19">
        <f t="shared" ref="BG7:BG15" si="6">SUM(AJ7:BC7)</f>
        <v>1964774.4000000001</v>
      </c>
    </row>
    <row r="8" spans="1:59" x14ac:dyDescent="0.2">
      <c r="C8" s="8">
        <v>501</v>
      </c>
      <c r="D8" s="8" t="s">
        <v>451</v>
      </c>
      <c r="E8" s="19">
        <v>922494.6</v>
      </c>
      <c r="F8" s="19">
        <v>2353.3000000000002</v>
      </c>
      <c r="G8" s="19">
        <v>0</v>
      </c>
      <c r="H8" s="19">
        <v>0</v>
      </c>
      <c r="I8" s="19">
        <v>85196.66</v>
      </c>
      <c r="J8" s="19">
        <v>488094.4</v>
      </c>
      <c r="K8" s="19">
        <v>235974.75</v>
      </c>
      <c r="L8" s="19">
        <v>1455823.99</v>
      </c>
      <c r="M8" s="19">
        <v>154995.65</v>
      </c>
      <c r="N8" s="19">
        <v>0</v>
      </c>
      <c r="O8" s="19">
        <v>1367530.67</v>
      </c>
      <c r="P8" s="19">
        <v>837.57</v>
      </c>
      <c r="Q8" s="19">
        <v>0</v>
      </c>
      <c r="R8" s="19">
        <v>0</v>
      </c>
      <c r="S8" s="19">
        <v>0</v>
      </c>
      <c r="T8" s="19">
        <v>3578.65</v>
      </c>
      <c r="U8" s="19">
        <v>0</v>
      </c>
      <c r="V8" s="19">
        <v>0</v>
      </c>
      <c r="W8" s="19">
        <v>498582.15</v>
      </c>
      <c r="X8" s="19">
        <v>33871.65</v>
      </c>
      <c r="Y8" s="19">
        <v>176469.7</v>
      </c>
      <c r="Z8" s="19">
        <v>336036.45</v>
      </c>
      <c r="AA8" s="19">
        <v>165063.79999999999</v>
      </c>
      <c r="AB8" s="19">
        <v>29461.65</v>
      </c>
      <c r="AC8" s="19">
        <v>121940</v>
      </c>
      <c r="AD8" s="19">
        <v>44964.75</v>
      </c>
      <c r="AE8" s="19">
        <v>41690.300000000003</v>
      </c>
      <c r="AF8" s="19">
        <v>53982.91</v>
      </c>
      <c r="AG8" s="19">
        <v>57618.37</v>
      </c>
      <c r="AH8" s="19">
        <v>158106.56</v>
      </c>
      <c r="AI8" s="19">
        <v>819025.5</v>
      </c>
      <c r="AJ8" s="19">
        <v>188743.8</v>
      </c>
      <c r="AK8" s="19">
        <v>0</v>
      </c>
      <c r="AL8" s="19">
        <v>829623.75</v>
      </c>
      <c r="AM8" s="19">
        <v>1276.25</v>
      </c>
      <c r="AN8" s="19">
        <v>1036417.25</v>
      </c>
      <c r="AO8" s="19">
        <v>61315.75</v>
      </c>
      <c r="AP8" s="19">
        <v>194373.65</v>
      </c>
      <c r="AQ8" s="19">
        <v>383258.9</v>
      </c>
      <c r="AR8" s="19">
        <v>17397.55</v>
      </c>
      <c r="AS8" s="19">
        <v>24235.85</v>
      </c>
      <c r="AT8" s="19">
        <v>0</v>
      </c>
      <c r="AU8" s="19">
        <v>0</v>
      </c>
      <c r="AV8" s="19">
        <v>3257.24</v>
      </c>
      <c r="AW8" s="19">
        <v>-1302.7</v>
      </c>
      <c r="AX8" s="19">
        <v>13983.3</v>
      </c>
      <c r="AY8" s="19">
        <v>0</v>
      </c>
      <c r="AZ8" s="19">
        <v>177755.18</v>
      </c>
      <c r="BA8" s="19">
        <v>0</v>
      </c>
      <c r="BB8" s="19">
        <v>1552532.83</v>
      </c>
      <c r="BC8" s="19">
        <v>0</v>
      </c>
      <c r="BD8" s="19">
        <f t="shared" si="3"/>
        <v>11736562.630000005</v>
      </c>
      <c r="BE8" s="19">
        <f t="shared" si="4"/>
        <v>5215462.3900000006</v>
      </c>
      <c r="BF8" s="19">
        <f t="shared" si="5"/>
        <v>2038231.6400000004</v>
      </c>
      <c r="BG8" s="19">
        <f t="shared" si="6"/>
        <v>4482868.5999999996</v>
      </c>
    </row>
    <row r="9" spans="1:59" x14ac:dyDescent="0.2">
      <c r="C9" s="8">
        <v>502</v>
      </c>
      <c r="D9" s="8" t="s">
        <v>452</v>
      </c>
      <c r="E9" s="19">
        <v>0</v>
      </c>
      <c r="F9" s="19">
        <v>0</v>
      </c>
      <c r="G9" s="19">
        <v>6620.48</v>
      </c>
      <c r="H9" s="19">
        <v>0</v>
      </c>
      <c r="I9" s="19">
        <v>53305.05</v>
      </c>
      <c r="J9" s="19">
        <v>90510.75</v>
      </c>
      <c r="K9" s="19">
        <v>0</v>
      </c>
      <c r="L9" s="19">
        <v>2493238.75</v>
      </c>
      <c r="M9" s="19">
        <v>1334380.75</v>
      </c>
      <c r="N9" s="19">
        <v>0</v>
      </c>
      <c r="O9" s="19">
        <v>1052051.55</v>
      </c>
      <c r="P9" s="19">
        <v>1984.81</v>
      </c>
      <c r="Q9" s="19">
        <v>0</v>
      </c>
      <c r="R9" s="19">
        <v>0</v>
      </c>
      <c r="S9" s="19">
        <v>0</v>
      </c>
      <c r="T9" s="19">
        <v>0</v>
      </c>
      <c r="U9" s="19">
        <v>0</v>
      </c>
      <c r="V9" s="19">
        <v>451.25</v>
      </c>
      <c r="W9" s="19">
        <v>625322.65</v>
      </c>
      <c r="X9" s="19">
        <v>0</v>
      </c>
      <c r="Y9" s="19">
        <v>0</v>
      </c>
      <c r="Z9" s="19">
        <v>0</v>
      </c>
      <c r="AA9" s="19">
        <v>0</v>
      </c>
      <c r="AB9" s="19">
        <v>0</v>
      </c>
      <c r="AC9" s="19">
        <v>0</v>
      </c>
      <c r="AD9" s="19">
        <v>0</v>
      </c>
      <c r="AE9" s="19">
        <v>0</v>
      </c>
      <c r="AF9" s="19">
        <v>0</v>
      </c>
      <c r="AG9" s="19">
        <v>0</v>
      </c>
      <c r="AH9" s="19">
        <v>0</v>
      </c>
      <c r="AI9" s="19">
        <v>0</v>
      </c>
      <c r="AJ9" s="19">
        <v>191245.2</v>
      </c>
      <c r="AK9" s="19">
        <v>0</v>
      </c>
      <c r="AL9" s="19">
        <v>95314.55</v>
      </c>
      <c r="AM9" s="19">
        <v>0</v>
      </c>
      <c r="AN9" s="19">
        <v>149768.65</v>
      </c>
      <c r="AO9" s="19">
        <v>2934.35</v>
      </c>
      <c r="AP9" s="19">
        <v>0</v>
      </c>
      <c r="AQ9" s="19">
        <v>0</v>
      </c>
      <c r="AR9" s="19">
        <v>0</v>
      </c>
      <c r="AS9" s="19">
        <v>3222.9</v>
      </c>
      <c r="AT9" s="19">
        <v>12363.05</v>
      </c>
      <c r="AU9" s="19">
        <v>0</v>
      </c>
      <c r="AV9" s="19">
        <v>0</v>
      </c>
      <c r="AW9" s="19">
        <v>79701.3</v>
      </c>
      <c r="AX9" s="19">
        <v>0</v>
      </c>
      <c r="AY9" s="19">
        <v>0</v>
      </c>
      <c r="AZ9" s="19">
        <v>0</v>
      </c>
      <c r="BA9" s="19">
        <v>0</v>
      </c>
      <c r="BB9" s="19">
        <v>55911.14</v>
      </c>
      <c r="BC9" s="19">
        <v>0</v>
      </c>
      <c r="BD9" s="19">
        <f t="shared" si="3"/>
        <v>6248327.1799999997</v>
      </c>
      <c r="BE9" s="19">
        <f t="shared" si="4"/>
        <v>5657866.04</v>
      </c>
      <c r="BF9" s="19">
        <f t="shared" si="5"/>
        <v>0</v>
      </c>
      <c r="BG9" s="19">
        <f t="shared" si="6"/>
        <v>590461.14</v>
      </c>
    </row>
    <row r="10" spans="1:59" x14ac:dyDescent="0.2">
      <c r="C10" s="8">
        <v>503</v>
      </c>
      <c r="D10" s="8" t="s">
        <v>453</v>
      </c>
      <c r="E10" s="19">
        <v>805544.11</v>
      </c>
      <c r="F10" s="19">
        <v>0</v>
      </c>
      <c r="G10" s="19">
        <v>1965.7</v>
      </c>
      <c r="H10" s="19">
        <v>41883.599999999999</v>
      </c>
      <c r="I10" s="19">
        <v>428259.6</v>
      </c>
      <c r="J10" s="19">
        <v>537120.44999999995</v>
      </c>
      <c r="K10" s="19">
        <v>653267.31999999995</v>
      </c>
      <c r="L10" s="19">
        <v>7461606.4699999997</v>
      </c>
      <c r="M10" s="19">
        <v>621535.19999999995</v>
      </c>
      <c r="N10" s="19">
        <v>0</v>
      </c>
      <c r="O10" s="19">
        <v>859405.8</v>
      </c>
      <c r="P10" s="19">
        <v>0</v>
      </c>
      <c r="Q10" s="19">
        <v>0</v>
      </c>
      <c r="R10" s="19">
        <v>388934.58</v>
      </c>
      <c r="S10" s="19">
        <v>-209.25</v>
      </c>
      <c r="T10" s="19">
        <v>8286.2000000000007</v>
      </c>
      <c r="U10" s="19">
        <v>54878.91</v>
      </c>
      <c r="V10" s="19">
        <v>0</v>
      </c>
      <c r="W10" s="19">
        <v>419703.6</v>
      </c>
      <c r="X10" s="19">
        <v>0</v>
      </c>
      <c r="Y10" s="19">
        <v>121943.8</v>
      </c>
      <c r="Z10" s="19">
        <v>647868.19999999995</v>
      </c>
      <c r="AA10" s="19">
        <v>16814.650000000001</v>
      </c>
      <c r="AB10" s="19">
        <v>0</v>
      </c>
      <c r="AC10" s="19">
        <v>644833.44999999995</v>
      </c>
      <c r="AD10" s="19">
        <v>103430.1</v>
      </c>
      <c r="AE10" s="19">
        <v>75371.3</v>
      </c>
      <c r="AF10" s="19">
        <v>1993403.1</v>
      </c>
      <c r="AG10" s="19">
        <v>275134.38</v>
      </c>
      <c r="AH10" s="19">
        <v>31669.200000000001</v>
      </c>
      <c r="AI10" s="19">
        <v>0</v>
      </c>
      <c r="AJ10" s="19">
        <v>140007.1</v>
      </c>
      <c r="AK10" s="19">
        <v>12930.3</v>
      </c>
      <c r="AL10" s="19">
        <v>26832.97</v>
      </c>
      <c r="AM10" s="19">
        <v>0</v>
      </c>
      <c r="AN10" s="19">
        <v>12653.65</v>
      </c>
      <c r="AO10" s="19">
        <v>55775.05</v>
      </c>
      <c r="AP10" s="19">
        <v>63331.07</v>
      </c>
      <c r="AQ10" s="19">
        <v>128918.7</v>
      </c>
      <c r="AR10" s="19">
        <v>184721.6</v>
      </c>
      <c r="AS10" s="19">
        <v>0</v>
      </c>
      <c r="AT10" s="19">
        <v>0</v>
      </c>
      <c r="AU10" s="19">
        <v>117176.55</v>
      </c>
      <c r="AV10" s="19">
        <v>295.05</v>
      </c>
      <c r="AW10" s="19">
        <v>0</v>
      </c>
      <c r="AX10" s="19">
        <v>0</v>
      </c>
      <c r="AY10" s="19">
        <v>123120.1</v>
      </c>
      <c r="AZ10" s="19">
        <v>278065.45</v>
      </c>
      <c r="BA10" s="19">
        <v>129330.7</v>
      </c>
      <c r="BB10" s="19">
        <v>804730.38</v>
      </c>
      <c r="BC10" s="19">
        <v>0</v>
      </c>
      <c r="BD10" s="19">
        <f t="shared" si="3"/>
        <v>18270539.140000001</v>
      </c>
      <c r="BE10" s="19">
        <f t="shared" si="4"/>
        <v>12282182.289999999</v>
      </c>
      <c r="BF10" s="19">
        <f t="shared" si="5"/>
        <v>3910468.1800000006</v>
      </c>
      <c r="BG10" s="19">
        <f t="shared" si="6"/>
        <v>2077888.67</v>
      </c>
    </row>
    <row r="11" spans="1:59" x14ac:dyDescent="0.2">
      <c r="C11" s="8">
        <v>504</v>
      </c>
      <c r="D11" s="8" t="s">
        <v>454</v>
      </c>
      <c r="E11" s="19">
        <v>21285.35</v>
      </c>
      <c r="F11" s="19">
        <v>63605.85</v>
      </c>
      <c r="G11" s="19">
        <v>0</v>
      </c>
      <c r="H11" s="19">
        <v>0</v>
      </c>
      <c r="I11" s="19">
        <v>4388460.97</v>
      </c>
      <c r="J11" s="19">
        <v>12221.25</v>
      </c>
      <c r="K11" s="19">
        <v>615029.80000000005</v>
      </c>
      <c r="L11" s="19">
        <v>2474686.5499999998</v>
      </c>
      <c r="M11" s="19">
        <v>41120.300000000003</v>
      </c>
      <c r="N11" s="19">
        <v>0</v>
      </c>
      <c r="O11" s="19">
        <v>2111460</v>
      </c>
      <c r="P11" s="19">
        <v>77997.350000000006</v>
      </c>
      <c r="Q11" s="19">
        <v>0</v>
      </c>
      <c r="R11" s="19">
        <v>0</v>
      </c>
      <c r="S11" s="19">
        <v>0</v>
      </c>
      <c r="T11" s="19">
        <v>0</v>
      </c>
      <c r="U11" s="19">
        <v>0</v>
      </c>
      <c r="V11" s="19">
        <v>0</v>
      </c>
      <c r="W11" s="19">
        <v>375259.85</v>
      </c>
      <c r="X11" s="19">
        <v>33609.75</v>
      </c>
      <c r="Y11" s="19">
        <v>0</v>
      </c>
      <c r="Z11" s="19">
        <v>0</v>
      </c>
      <c r="AA11" s="19">
        <v>0</v>
      </c>
      <c r="AB11" s="19">
        <v>0</v>
      </c>
      <c r="AC11" s="19">
        <v>0</v>
      </c>
      <c r="AD11" s="19">
        <v>0</v>
      </c>
      <c r="AE11" s="19">
        <v>61116.4</v>
      </c>
      <c r="AF11" s="19">
        <v>30914.75</v>
      </c>
      <c r="AG11" s="19">
        <v>349572.39</v>
      </c>
      <c r="AH11" s="19">
        <v>1346.25</v>
      </c>
      <c r="AI11" s="19">
        <v>0</v>
      </c>
      <c r="AJ11" s="19">
        <v>0</v>
      </c>
      <c r="AK11" s="19">
        <v>0</v>
      </c>
      <c r="AL11" s="19">
        <v>192416.9</v>
      </c>
      <c r="AM11" s="19">
        <v>0</v>
      </c>
      <c r="AN11" s="19">
        <v>48940.35</v>
      </c>
      <c r="AO11" s="19">
        <v>26078.35</v>
      </c>
      <c r="AP11" s="19">
        <v>814226.75</v>
      </c>
      <c r="AQ11" s="19">
        <v>18327</v>
      </c>
      <c r="AR11" s="19">
        <v>111643.9</v>
      </c>
      <c r="AS11" s="19">
        <v>130999.95</v>
      </c>
      <c r="AT11" s="19">
        <v>283865.90000000002</v>
      </c>
      <c r="AU11" s="19">
        <v>767604.1</v>
      </c>
      <c r="AV11" s="19">
        <v>398960.58</v>
      </c>
      <c r="AW11" s="19">
        <v>0</v>
      </c>
      <c r="AX11" s="19">
        <v>0</v>
      </c>
      <c r="AY11" s="19">
        <v>69677.100000000006</v>
      </c>
      <c r="AZ11" s="19">
        <v>0</v>
      </c>
      <c r="BA11" s="19">
        <v>0</v>
      </c>
      <c r="BB11" s="19">
        <v>2193063.59</v>
      </c>
      <c r="BC11" s="19">
        <v>531179.6</v>
      </c>
      <c r="BD11" s="19">
        <f t="shared" si="3"/>
        <v>16244670.879999999</v>
      </c>
      <c r="BE11" s="19">
        <f t="shared" si="4"/>
        <v>10181127.27</v>
      </c>
      <c r="BF11" s="19">
        <f t="shared" si="5"/>
        <v>476559.54000000004</v>
      </c>
      <c r="BG11" s="19">
        <f t="shared" si="6"/>
        <v>5586984.0700000003</v>
      </c>
    </row>
    <row r="12" spans="1:59" x14ac:dyDescent="0.2">
      <c r="C12" s="8">
        <v>505</v>
      </c>
      <c r="D12" s="8" t="s">
        <v>455</v>
      </c>
      <c r="E12" s="19">
        <v>0</v>
      </c>
      <c r="F12" s="19">
        <v>0</v>
      </c>
      <c r="G12" s="19">
        <v>0</v>
      </c>
      <c r="H12" s="19">
        <v>0</v>
      </c>
      <c r="I12" s="19">
        <v>0</v>
      </c>
      <c r="J12" s="19">
        <v>23874.95</v>
      </c>
      <c r="K12" s="19">
        <v>0</v>
      </c>
      <c r="L12" s="19">
        <v>0</v>
      </c>
      <c r="M12" s="19">
        <v>0</v>
      </c>
      <c r="N12" s="19">
        <v>0</v>
      </c>
      <c r="O12" s="19">
        <v>0</v>
      </c>
      <c r="P12" s="19">
        <v>0</v>
      </c>
      <c r="Q12" s="19">
        <v>0</v>
      </c>
      <c r="R12" s="19">
        <v>0</v>
      </c>
      <c r="S12" s="19">
        <v>0</v>
      </c>
      <c r="T12" s="19">
        <v>0</v>
      </c>
      <c r="U12" s="19">
        <v>0</v>
      </c>
      <c r="V12" s="19">
        <v>0</v>
      </c>
      <c r="W12" s="19">
        <v>0</v>
      </c>
      <c r="X12" s="19">
        <v>0</v>
      </c>
      <c r="Y12" s="19">
        <v>0</v>
      </c>
      <c r="Z12" s="19">
        <v>9014.15</v>
      </c>
      <c r="AA12" s="19">
        <v>0</v>
      </c>
      <c r="AB12" s="19">
        <v>0</v>
      </c>
      <c r="AC12" s="19">
        <v>0</v>
      </c>
      <c r="AD12" s="19">
        <v>0</v>
      </c>
      <c r="AE12" s="19">
        <v>0</v>
      </c>
      <c r="AF12" s="19">
        <v>25005.5</v>
      </c>
      <c r="AG12" s="19">
        <v>0</v>
      </c>
      <c r="AH12" s="19">
        <v>0</v>
      </c>
      <c r="AI12" s="19">
        <v>0</v>
      </c>
      <c r="AJ12" s="19">
        <v>0</v>
      </c>
      <c r="AK12" s="19">
        <v>28017.9</v>
      </c>
      <c r="AL12" s="19">
        <v>4978.8</v>
      </c>
      <c r="AM12" s="19">
        <v>0</v>
      </c>
      <c r="AN12" s="19">
        <v>0</v>
      </c>
      <c r="AO12" s="19">
        <v>637.5</v>
      </c>
      <c r="AP12" s="19">
        <v>0</v>
      </c>
      <c r="AQ12" s="19">
        <v>0</v>
      </c>
      <c r="AR12" s="19">
        <v>0</v>
      </c>
      <c r="AS12" s="19">
        <v>0</v>
      </c>
      <c r="AT12" s="19">
        <v>0</v>
      </c>
      <c r="AU12" s="19">
        <v>0</v>
      </c>
      <c r="AV12" s="19">
        <v>0</v>
      </c>
      <c r="AW12" s="19">
        <v>0</v>
      </c>
      <c r="AX12" s="19">
        <v>0</v>
      </c>
      <c r="AY12" s="19">
        <v>0</v>
      </c>
      <c r="AZ12" s="19">
        <v>0</v>
      </c>
      <c r="BA12" s="19">
        <v>0</v>
      </c>
      <c r="BB12" s="19">
        <v>0</v>
      </c>
      <c r="BC12" s="19">
        <v>0</v>
      </c>
      <c r="BD12" s="19">
        <f t="shared" si="3"/>
        <v>91528.8</v>
      </c>
      <c r="BE12" s="19">
        <f t="shared" si="4"/>
        <v>23874.95</v>
      </c>
      <c r="BF12" s="19">
        <f t="shared" si="5"/>
        <v>34019.65</v>
      </c>
      <c r="BG12" s="19">
        <f t="shared" si="6"/>
        <v>33634.200000000004</v>
      </c>
    </row>
    <row r="13" spans="1:59" x14ac:dyDescent="0.2">
      <c r="C13" s="8">
        <v>506</v>
      </c>
      <c r="D13" s="8" t="s">
        <v>456</v>
      </c>
      <c r="E13" s="19">
        <v>0</v>
      </c>
      <c r="F13" s="19">
        <v>0</v>
      </c>
      <c r="G13" s="19">
        <v>0</v>
      </c>
      <c r="H13" s="19">
        <v>0</v>
      </c>
      <c r="I13" s="19">
        <v>1006558.11</v>
      </c>
      <c r="J13" s="19">
        <v>0</v>
      </c>
      <c r="K13" s="19">
        <v>0</v>
      </c>
      <c r="L13" s="19">
        <v>348696.62</v>
      </c>
      <c r="M13" s="19">
        <v>12870.15</v>
      </c>
      <c r="N13" s="19">
        <v>0</v>
      </c>
      <c r="O13" s="19">
        <v>269660.55</v>
      </c>
      <c r="P13" s="19">
        <v>0</v>
      </c>
      <c r="Q13" s="19">
        <v>0</v>
      </c>
      <c r="R13" s="19">
        <v>144667.5</v>
      </c>
      <c r="S13" s="19">
        <v>0</v>
      </c>
      <c r="T13" s="19">
        <v>0</v>
      </c>
      <c r="U13" s="19">
        <v>0</v>
      </c>
      <c r="V13" s="19">
        <v>0</v>
      </c>
      <c r="W13" s="19">
        <v>0</v>
      </c>
      <c r="X13" s="19">
        <v>18046.400000000001</v>
      </c>
      <c r="Y13" s="19">
        <v>103271.2</v>
      </c>
      <c r="Z13" s="19">
        <v>208770.75</v>
      </c>
      <c r="AA13" s="19">
        <v>0</v>
      </c>
      <c r="AB13" s="19">
        <v>0</v>
      </c>
      <c r="AC13" s="19">
        <v>0</v>
      </c>
      <c r="AD13" s="19">
        <v>0</v>
      </c>
      <c r="AE13" s="19">
        <v>0</v>
      </c>
      <c r="AF13" s="19">
        <v>0</v>
      </c>
      <c r="AG13" s="19">
        <v>104611.9</v>
      </c>
      <c r="AH13" s="19">
        <v>19081.25</v>
      </c>
      <c r="AI13" s="19">
        <v>0</v>
      </c>
      <c r="AJ13" s="19">
        <v>21642.7</v>
      </c>
      <c r="AK13" s="19">
        <v>0</v>
      </c>
      <c r="AL13" s="19">
        <v>178345.85</v>
      </c>
      <c r="AM13" s="19">
        <v>0</v>
      </c>
      <c r="AN13" s="19">
        <v>18751.2</v>
      </c>
      <c r="AO13" s="19">
        <v>0</v>
      </c>
      <c r="AP13" s="19">
        <v>0</v>
      </c>
      <c r="AQ13" s="19">
        <v>134898.9</v>
      </c>
      <c r="AR13" s="19">
        <v>37722.25</v>
      </c>
      <c r="AS13" s="19">
        <v>10500</v>
      </c>
      <c r="AT13" s="19">
        <v>0</v>
      </c>
      <c r="AU13" s="19">
        <v>38284.15</v>
      </c>
      <c r="AV13" s="19">
        <v>0</v>
      </c>
      <c r="AW13" s="19">
        <v>0</v>
      </c>
      <c r="AX13" s="19">
        <v>0</v>
      </c>
      <c r="AY13" s="19">
        <v>0</v>
      </c>
      <c r="AZ13" s="19">
        <v>0</v>
      </c>
      <c r="BA13" s="19">
        <v>0</v>
      </c>
      <c r="BB13" s="19">
        <v>388772.37</v>
      </c>
      <c r="BC13" s="19">
        <v>0</v>
      </c>
      <c r="BD13" s="19">
        <f t="shared" si="3"/>
        <v>3065151.85</v>
      </c>
      <c r="BE13" s="19">
        <f t="shared" si="4"/>
        <v>1782452.93</v>
      </c>
      <c r="BF13" s="19">
        <f t="shared" si="5"/>
        <v>453781.5</v>
      </c>
      <c r="BG13" s="19">
        <f t="shared" si="6"/>
        <v>828917.42</v>
      </c>
    </row>
    <row r="14" spans="1:59" x14ac:dyDescent="0.2">
      <c r="C14" s="8">
        <v>509</v>
      </c>
      <c r="D14" s="8" t="s">
        <v>457</v>
      </c>
      <c r="E14" s="19">
        <v>0</v>
      </c>
      <c r="F14" s="19">
        <v>0</v>
      </c>
      <c r="G14" s="19">
        <v>0</v>
      </c>
      <c r="H14" s="19">
        <v>0</v>
      </c>
      <c r="I14" s="19">
        <v>0</v>
      </c>
      <c r="J14" s="19">
        <v>0</v>
      </c>
      <c r="K14" s="19">
        <v>0</v>
      </c>
      <c r="L14" s="19">
        <v>17226.45</v>
      </c>
      <c r="M14" s="19">
        <v>30604.799999999999</v>
      </c>
      <c r="N14" s="19">
        <v>0</v>
      </c>
      <c r="O14" s="19">
        <v>-22379.65</v>
      </c>
      <c r="P14" s="19">
        <v>0</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79727</v>
      </c>
      <c r="AP14" s="19">
        <v>0</v>
      </c>
      <c r="AQ14" s="19">
        <v>0</v>
      </c>
      <c r="AR14" s="19">
        <v>0</v>
      </c>
      <c r="AS14" s="19">
        <v>0</v>
      </c>
      <c r="AT14" s="19">
        <v>0</v>
      </c>
      <c r="AU14" s="19">
        <v>0</v>
      </c>
      <c r="AV14" s="19">
        <v>0</v>
      </c>
      <c r="AW14" s="19">
        <v>0</v>
      </c>
      <c r="AX14" s="19">
        <v>0</v>
      </c>
      <c r="AY14" s="19">
        <v>0</v>
      </c>
      <c r="AZ14" s="19">
        <v>0</v>
      </c>
      <c r="BA14" s="19">
        <v>0</v>
      </c>
      <c r="BB14" s="19">
        <v>0</v>
      </c>
      <c r="BC14" s="19">
        <v>0</v>
      </c>
      <c r="BD14" s="19">
        <f t="shared" si="3"/>
        <v>105178.6</v>
      </c>
      <c r="BE14" s="19">
        <f t="shared" si="4"/>
        <v>25451.599999999999</v>
      </c>
      <c r="BF14" s="19">
        <f t="shared" si="5"/>
        <v>0</v>
      </c>
      <c r="BG14" s="19">
        <f t="shared" si="6"/>
        <v>79727</v>
      </c>
    </row>
    <row r="15" spans="1:59"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f t="shared" si="6"/>
        <v>0</v>
      </c>
    </row>
    <row r="16" spans="1:59" ht="15" x14ac:dyDescent="0.25">
      <c r="B16" s="85">
        <v>51</v>
      </c>
      <c r="C16" s="85"/>
      <c r="D16" s="85" t="s">
        <v>449</v>
      </c>
      <c r="E16" s="113">
        <f>E17+E18+E19+E20+E21+E22+E23+E24</f>
        <v>0</v>
      </c>
      <c r="F16" s="113">
        <f t="shared" ref="F16:BC16" si="7">F17+F18+F19+F20+F21+F22+F23+F24</f>
        <v>0</v>
      </c>
      <c r="G16" s="113">
        <f t="shared" si="7"/>
        <v>0</v>
      </c>
      <c r="H16" s="113">
        <f t="shared" si="7"/>
        <v>0</v>
      </c>
      <c r="I16" s="113">
        <f t="shared" si="7"/>
        <v>0</v>
      </c>
      <c r="J16" s="113">
        <f t="shared" si="7"/>
        <v>21742.55</v>
      </c>
      <c r="K16" s="113">
        <f t="shared" si="7"/>
        <v>0</v>
      </c>
      <c r="L16" s="113">
        <f t="shared" si="7"/>
        <v>0</v>
      </c>
      <c r="M16" s="113">
        <f t="shared" si="7"/>
        <v>0</v>
      </c>
      <c r="N16" s="113">
        <f t="shared" si="7"/>
        <v>41267.75</v>
      </c>
      <c r="O16" s="113">
        <f t="shared" si="7"/>
        <v>0</v>
      </c>
      <c r="P16" s="113">
        <f t="shared" si="7"/>
        <v>0</v>
      </c>
      <c r="Q16" s="113">
        <f t="shared" si="7"/>
        <v>0</v>
      </c>
      <c r="R16" s="113">
        <f t="shared" si="7"/>
        <v>0</v>
      </c>
      <c r="S16" s="113">
        <f t="shared" si="7"/>
        <v>0</v>
      </c>
      <c r="T16" s="113">
        <f t="shared" si="7"/>
        <v>0</v>
      </c>
      <c r="U16" s="113">
        <f t="shared" si="7"/>
        <v>0</v>
      </c>
      <c r="V16" s="113">
        <f t="shared" si="7"/>
        <v>0</v>
      </c>
      <c r="W16" s="113">
        <f t="shared" si="7"/>
        <v>0</v>
      </c>
      <c r="X16" s="113">
        <f t="shared" si="7"/>
        <v>0</v>
      </c>
      <c r="Y16" s="113">
        <f t="shared" si="7"/>
        <v>2793</v>
      </c>
      <c r="Z16" s="113">
        <f t="shared" si="7"/>
        <v>0</v>
      </c>
      <c r="AA16" s="113">
        <f t="shared" si="7"/>
        <v>0</v>
      </c>
      <c r="AB16" s="113">
        <f t="shared" si="7"/>
        <v>0</v>
      </c>
      <c r="AC16" s="113">
        <f t="shared" si="7"/>
        <v>0</v>
      </c>
      <c r="AD16" s="113">
        <f t="shared" si="7"/>
        <v>0</v>
      </c>
      <c r="AE16" s="113">
        <f t="shared" si="7"/>
        <v>31429.65</v>
      </c>
      <c r="AF16" s="113">
        <f t="shared" si="7"/>
        <v>0</v>
      </c>
      <c r="AG16" s="113">
        <f t="shared" si="7"/>
        <v>0</v>
      </c>
      <c r="AH16" s="113">
        <f t="shared" si="7"/>
        <v>0</v>
      </c>
      <c r="AI16" s="113">
        <f t="shared" si="7"/>
        <v>0</v>
      </c>
      <c r="AJ16" s="113">
        <f t="shared" si="7"/>
        <v>62799.5</v>
      </c>
      <c r="AK16" s="113">
        <f t="shared" si="7"/>
        <v>32573.3</v>
      </c>
      <c r="AL16" s="113">
        <f t="shared" si="7"/>
        <v>15816.3</v>
      </c>
      <c r="AM16" s="113">
        <f t="shared" si="7"/>
        <v>0</v>
      </c>
      <c r="AN16" s="113">
        <f t="shared" si="7"/>
        <v>0</v>
      </c>
      <c r="AO16" s="113">
        <f t="shared" si="7"/>
        <v>0</v>
      </c>
      <c r="AP16" s="113">
        <f t="shared" si="7"/>
        <v>0</v>
      </c>
      <c r="AQ16" s="113">
        <f t="shared" si="7"/>
        <v>0</v>
      </c>
      <c r="AR16" s="113">
        <f t="shared" si="7"/>
        <v>0</v>
      </c>
      <c r="AS16" s="113">
        <f t="shared" si="7"/>
        <v>19413.7</v>
      </c>
      <c r="AT16" s="113">
        <f t="shared" si="7"/>
        <v>0</v>
      </c>
      <c r="AU16" s="113">
        <f t="shared" si="7"/>
        <v>0</v>
      </c>
      <c r="AV16" s="113">
        <f t="shared" si="7"/>
        <v>0</v>
      </c>
      <c r="AW16" s="113">
        <f t="shared" si="7"/>
        <v>0</v>
      </c>
      <c r="AX16" s="113">
        <f t="shared" si="7"/>
        <v>0</v>
      </c>
      <c r="AY16" s="113">
        <f t="shared" si="7"/>
        <v>381827.75</v>
      </c>
      <c r="AZ16" s="113">
        <f t="shared" si="7"/>
        <v>0</v>
      </c>
      <c r="BA16" s="113">
        <f t="shared" si="7"/>
        <v>56466.6</v>
      </c>
      <c r="BB16" s="113">
        <f t="shared" si="7"/>
        <v>333.25</v>
      </c>
      <c r="BC16" s="113">
        <f t="shared" si="7"/>
        <v>0</v>
      </c>
      <c r="BD16" s="113">
        <f t="shared" ref="BD16" si="8">BD17+BD18+BD19+BD20+BD21+BD22+BD23+BD24</f>
        <v>666463.35</v>
      </c>
      <c r="BE16" s="113">
        <f t="shared" ref="BE16" si="9">BE17+BE18+BE19+BE20+BE21+BE22+BE23+BE24</f>
        <v>63010.3</v>
      </c>
      <c r="BF16" s="113">
        <f t="shared" ref="BF16" si="10">BF17+BF18+BF19+BF20+BF21+BF22+BF23+BF24</f>
        <v>34222.65</v>
      </c>
      <c r="BG16" s="113">
        <f t="shared" ref="BG16" si="11">BG17+BG18+BG19+BG20+BG21+BG22+BG23+BG24</f>
        <v>569230.39999999991</v>
      </c>
    </row>
    <row r="17" spans="2:59" x14ac:dyDescent="0.2">
      <c r="C17" s="8">
        <v>510</v>
      </c>
      <c r="D17" s="8" t="s">
        <v>450</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f t="shared" ref="BD17:BD24" si="12">SUM(E17:BC17)</f>
        <v>41267.75</v>
      </c>
      <c r="BE17" s="19">
        <f t="shared" ref="BE17:BE24" si="13">SUM(E17:W17)</f>
        <v>41267.75</v>
      </c>
      <c r="BF17" s="19">
        <f t="shared" ref="BF17:BF24" si="14">SUM(X17:AI17)</f>
        <v>0</v>
      </c>
      <c r="BG17" s="19">
        <f t="shared" ref="BG17:BG24" si="15">SUM(AJ17:BC17)</f>
        <v>0</v>
      </c>
    </row>
    <row r="18" spans="2:59" x14ac:dyDescent="0.2">
      <c r="C18" s="8">
        <v>511</v>
      </c>
      <c r="D18" s="8" t="s">
        <v>451</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f t="shared" si="12"/>
        <v>0</v>
      </c>
      <c r="BE18" s="19">
        <f t="shared" si="13"/>
        <v>0</v>
      </c>
      <c r="BF18" s="19">
        <f t="shared" si="14"/>
        <v>0</v>
      </c>
      <c r="BG18" s="19">
        <f t="shared" si="15"/>
        <v>0</v>
      </c>
    </row>
    <row r="19" spans="2:59" x14ac:dyDescent="0.2">
      <c r="C19" s="8">
        <v>512</v>
      </c>
      <c r="D19" s="8" t="s">
        <v>452</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f t="shared" si="12"/>
        <v>0</v>
      </c>
      <c r="BE19" s="19">
        <f t="shared" si="13"/>
        <v>0</v>
      </c>
      <c r="BF19" s="19">
        <f t="shared" si="14"/>
        <v>0</v>
      </c>
      <c r="BG19" s="19">
        <f t="shared" si="15"/>
        <v>0</v>
      </c>
    </row>
    <row r="20" spans="2:59" x14ac:dyDescent="0.2">
      <c r="C20" s="8">
        <v>513</v>
      </c>
      <c r="D20" s="8" t="s">
        <v>453</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2793</v>
      </c>
      <c r="Z20" s="19">
        <v>0</v>
      </c>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381827.75</v>
      </c>
      <c r="AZ20" s="19">
        <v>0</v>
      </c>
      <c r="BA20" s="19">
        <v>0</v>
      </c>
      <c r="BB20" s="19">
        <v>0</v>
      </c>
      <c r="BC20" s="19">
        <v>0</v>
      </c>
      <c r="BD20" s="19">
        <f t="shared" si="12"/>
        <v>384620.75</v>
      </c>
      <c r="BE20" s="19">
        <f t="shared" si="13"/>
        <v>0</v>
      </c>
      <c r="BF20" s="19">
        <f t="shared" si="14"/>
        <v>2793</v>
      </c>
      <c r="BG20" s="19">
        <f t="shared" si="15"/>
        <v>381827.75</v>
      </c>
    </row>
    <row r="21" spans="2:59" x14ac:dyDescent="0.2">
      <c r="C21" s="8">
        <v>514</v>
      </c>
      <c r="D21" s="8" t="s">
        <v>454</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31429.65</v>
      </c>
      <c r="AF21" s="19">
        <v>0</v>
      </c>
      <c r="AG21" s="19">
        <v>0</v>
      </c>
      <c r="AH21" s="19">
        <v>0</v>
      </c>
      <c r="AI21" s="19">
        <v>0</v>
      </c>
      <c r="AJ21" s="19">
        <v>0</v>
      </c>
      <c r="AK21" s="19">
        <v>32573.3</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f t="shared" si="12"/>
        <v>64002.95</v>
      </c>
      <c r="BE21" s="19">
        <f t="shared" si="13"/>
        <v>0</v>
      </c>
      <c r="BF21" s="19">
        <f t="shared" si="14"/>
        <v>31429.65</v>
      </c>
      <c r="BG21" s="19">
        <f t="shared" si="15"/>
        <v>32573.3</v>
      </c>
    </row>
    <row r="22" spans="2:59" x14ac:dyDescent="0.2">
      <c r="C22" s="8">
        <v>515</v>
      </c>
      <c r="D22" s="8" t="s">
        <v>455</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15816.3</v>
      </c>
      <c r="AM22" s="19">
        <v>0</v>
      </c>
      <c r="AN22" s="19">
        <v>0</v>
      </c>
      <c r="AO22" s="19">
        <v>0</v>
      </c>
      <c r="AP22" s="19">
        <v>0</v>
      </c>
      <c r="AQ22" s="19">
        <v>0</v>
      </c>
      <c r="AR22" s="19">
        <v>0</v>
      </c>
      <c r="AS22" s="19">
        <v>0</v>
      </c>
      <c r="AT22" s="19">
        <v>0</v>
      </c>
      <c r="AU22" s="19">
        <v>0</v>
      </c>
      <c r="AV22" s="19">
        <v>0</v>
      </c>
      <c r="AW22" s="19">
        <v>0</v>
      </c>
      <c r="AX22" s="19">
        <v>0</v>
      </c>
      <c r="AY22" s="19">
        <v>0</v>
      </c>
      <c r="AZ22" s="19">
        <v>0</v>
      </c>
      <c r="BA22" s="19">
        <v>56466.6</v>
      </c>
      <c r="BB22" s="19">
        <v>0</v>
      </c>
      <c r="BC22" s="19">
        <v>0</v>
      </c>
      <c r="BD22" s="19">
        <f t="shared" si="12"/>
        <v>72282.899999999994</v>
      </c>
      <c r="BE22" s="19">
        <f t="shared" si="13"/>
        <v>0</v>
      </c>
      <c r="BF22" s="19">
        <f t="shared" si="14"/>
        <v>0</v>
      </c>
      <c r="BG22" s="19">
        <f t="shared" si="15"/>
        <v>72282.899999999994</v>
      </c>
    </row>
    <row r="23" spans="2:59" x14ac:dyDescent="0.2">
      <c r="C23" s="8">
        <v>516</v>
      </c>
      <c r="D23" s="8" t="s">
        <v>456</v>
      </c>
      <c r="E23" s="19">
        <v>0</v>
      </c>
      <c r="F23" s="19">
        <v>0</v>
      </c>
      <c r="G23" s="19">
        <v>0</v>
      </c>
      <c r="H23" s="19">
        <v>0</v>
      </c>
      <c r="I23" s="19">
        <v>0</v>
      </c>
      <c r="J23" s="19">
        <v>21742.55</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62799.5</v>
      </c>
      <c r="AK23" s="19">
        <v>0</v>
      </c>
      <c r="AL23" s="19">
        <v>0</v>
      </c>
      <c r="AM23" s="19">
        <v>0</v>
      </c>
      <c r="AN23" s="19">
        <v>0</v>
      </c>
      <c r="AO23" s="19">
        <v>0</v>
      </c>
      <c r="AP23" s="19">
        <v>0</v>
      </c>
      <c r="AQ23" s="19">
        <v>0</v>
      </c>
      <c r="AR23" s="19">
        <v>0</v>
      </c>
      <c r="AS23" s="19">
        <v>19413.7</v>
      </c>
      <c r="AT23" s="19">
        <v>0</v>
      </c>
      <c r="AU23" s="19">
        <v>0</v>
      </c>
      <c r="AV23" s="19">
        <v>0</v>
      </c>
      <c r="AW23" s="19">
        <v>0</v>
      </c>
      <c r="AX23" s="19">
        <v>0</v>
      </c>
      <c r="AY23" s="19">
        <v>0</v>
      </c>
      <c r="AZ23" s="19">
        <v>0</v>
      </c>
      <c r="BA23" s="19">
        <v>0</v>
      </c>
      <c r="BB23" s="19">
        <v>333.25</v>
      </c>
      <c r="BC23" s="19">
        <v>0</v>
      </c>
      <c r="BD23" s="19">
        <f t="shared" si="12"/>
        <v>104289</v>
      </c>
      <c r="BE23" s="19">
        <f t="shared" si="13"/>
        <v>21742.55</v>
      </c>
      <c r="BF23" s="19">
        <f t="shared" si="14"/>
        <v>0</v>
      </c>
      <c r="BG23" s="19">
        <f t="shared" si="15"/>
        <v>82546.45</v>
      </c>
    </row>
    <row r="24" spans="2:59" x14ac:dyDescent="0.2">
      <c r="C24" s="8">
        <v>519</v>
      </c>
      <c r="D24" s="8" t="s">
        <v>457</v>
      </c>
      <c r="E24" s="19">
        <v>0</v>
      </c>
      <c r="F24" s="19">
        <v>0</v>
      </c>
      <c r="G24" s="19">
        <v>0</v>
      </c>
      <c r="H24" s="19">
        <v>0</v>
      </c>
      <c r="I24" s="19">
        <v>0</v>
      </c>
      <c r="J24" s="19">
        <v>0</v>
      </c>
      <c r="K24" s="19">
        <v>0</v>
      </c>
      <c r="L24" s="19">
        <v>0</v>
      </c>
      <c r="M24" s="19">
        <v>0</v>
      </c>
      <c r="N24" s="19">
        <v>0</v>
      </c>
      <c r="O24" s="19">
        <v>0</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f t="shared" si="12"/>
        <v>0</v>
      </c>
      <c r="BE24" s="19">
        <f t="shared" si="13"/>
        <v>0</v>
      </c>
      <c r="BF24" s="19">
        <f t="shared" si="14"/>
        <v>0</v>
      </c>
      <c r="BG24" s="19">
        <f t="shared" si="15"/>
        <v>0</v>
      </c>
    </row>
    <row r="25" spans="2:59"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row>
    <row r="26" spans="2:59" ht="15" x14ac:dyDescent="0.25">
      <c r="B26" s="85">
        <v>52</v>
      </c>
      <c r="C26" s="85"/>
      <c r="D26" s="85" t="s">
        <v>458</v>
      </c>
      <c r="E26" s="113">
        <f>E27+E28+E29</f>
        <v>22622.5</v>
      </c>
      <c r="F26" s="113">
        <f t="shared" ref="F26:BC26" si="16">F27+F28+F29</f>
        <v>0</v>
      </c>
      <c r="G26" s="113">
        <f t="shared" si="16"/>
        <v>30870.75</v>
      </c>
      <c r="H26" s="113">
        <f t="shared" si="16"/>
        <v>0</v>
      </c>
      <c r="I26" s="113">
        <f t="shared" si="16"/>
        <v>0</v>
      </c>
      <c r="J26" s="113">
        <f t="shared" si="16"/>
        <v>20565.400000000001</v>
      </c>
      <c r="K26" s="113">
        <f t="shared" si="16"/>
        <v>29161.95</v>
      </c>
      <c r="L26" s="113">
        <f t="shared" si="16"/>
        <v>92130.96</v>
      </c>
      <c r="M26" s="113">
        <f t="shared" si="16"/>
        <v>38015.699999999997</v>
      </c>
      <c r="N26" s="113">
        <f t="shared" si="16"/>
        <v>0</v>
      </c>
      <c r="O26" s="113">
        <f t="shared" si="16"/>
        <v>233455.44999999998</v>
      </c>
      <c r="P26" s="113">
        <f t="shared" si="16"/>
        <v>0</v>
      </c>
      <c r="Q26" s="113">
        <f t="shared" si="16"/>
        <v>21792.85</v>
      </c>
      <c r="R26" s="113">
        <f t="shared" si="16"/>
        <v>38136.949999999997</v>
      </c>
      <c r="S26" s="113">
        <f t="shared" si="16"/>
        <v>18956.400000000001</v>
      </c>
      <c r="T26" s="113">
        <f t="shared" si="16"/>
        <v>28210.9</v>
      </c>
      <c r="U26" s="113">
        <f t="shared" si="16"/>
        <v>43900.25</v>
      </c>
      <c r="V26" s="113">
        <f t="shared" si="16"/>
        <v>13073.3</v>
      </c>
      <c r="W26" s="113">
        <f t="shared" si="16"/>
        <v>10419.950000000001</v>
      </c>
      <c r="X26" s="113">
        <f t="shared" si="16"/>
        <v>100</v>
      </c>
      <c r="Y26" s="113">
        <f t="shared" si="16"/>
        <v>21589.5</v>
      </c>
      <c r="Z26" s="113">
        <f t="shared" si="16"/>
        <v>75603.850000000006</v>
      </c>
      <c r="AA26" s="113">
        <f t="shared" si="16"/>
        <v>16652.5</v>
      </c>
      <c r="AB26" s="113">
        <f t="shared" si="16"/>
        <v>76286.45</v>
      </c>
      <c r="AC26" s="113">
        <f t="shared" si="16"/>
        <v>0</v>
      </c>
      <c r="AD26" s="113">
        <f t="shared" si="16"/>
        <v>40856.550000000003</v>
      </c>
      <c r="AE26" s="113">
        <f t="shared" si="16"/>
        <v>46364.3</v>
      </c>
      <c r="AF26" s="113">
        <f t="shared" si="16"/>
        <v>46624.4</v>
      </c>
      <c r="AG26" s="113">
        <f t="shared" si="16"/>
        <v>116605.4</v>
      </c>
      <c r="AH26" s="113">
        <f t="shared" si="16"/>
        <v>35151.65</v>
      </c>
      <c r="AI26" s="113">
        <f t="shared" si="16"/>
        <v>32992.550000000003</v>
      </c>
      <c r="AJ26" s="113">
        <f t="shared" si="16"/>
        <v>10155.75</v>
      </c>
      <c r="AK26" s="113">
        <f t="shared" si="16"/>
        <v>50000</v>
      </c>
      <c r="AL26" s="113">
        <f t="shared" si="16"/>
        <v>0</v>
      </c>
      <c r="AM26" s="113">
        <f t="shared" si="16"/>
        <v>28335.55</v>
      </c>
      <c r="AN26" s="113">
        <f t="shared" si="16"/>
        <v>0</v>
      </c>
      <c r="AO26" s="113">
        <f t="shared" si="16"/>
        <v>27608.55</v>
      </c>
      <c r="AP26" s="113">
        <f t="shared" si="16"/>
        <v>0</v>
      </c>
      <c r="AQ26" s="113">
        <f t="shared" si="16"/>
        <v>213420.79999999999</v>
      </c>
      <c r="AR26" s="113">
        <f t="shared" si="16"/>
        <v>8030.5</v>
      </c>
      <c r="AS26" s="113">
        <f t="shared" si="16"/>
        <v>14000</v>
      </c>
      <c r="AT26" s="113">
        <f t="shared" si="16"/>
        <v>11591.2</v>
      </c>
      <c r="AU26" s="113">
        <f t="shared" si="16"/>
        <v>62387.7</v>
      </c>
      <c r="AV26" s="113">
        <f t="shared" si="16"/>
        <v>25505.25</v>
      </c>
      <c r="AW26" s="113">
        <f t="shared" si="16"/>
        <v>47303.45</v>
      </c>
      <c r="AX26" s="113">
        <f t="shared" si="16"/>
        <v>41896.400000000001</v>
      </c>
      <c r="AY26" s="113">
        <f t="shared" si="16"/>
        <v>0</v>
      </c>
      <c r="AZ26" s="113">
        <f t="shared" si="16"/>
        <v>0</v>
      </c>
      <c r="BA26" s="113">
        <f t="shared" si="16"/>
        <v>93042.65</v>
      </c>
      <c r="BB26" s="113">
        <f t="shared" si="16"/>
        <v>68474.960000000006</v>
      </c>
      <c r="BC26" s="113">
        <f t="shared" si="16"/>
        <v>0</v>
      </c>
      <c r="BD26" s="113">
        <f t="shared" ref="BD26" si="17">BD27+BD28+BD29</f>
        <v>1851893.2199999997</v>
      </c>
      <c r="BE26" s="113">
        <f t="shared" ref="BE26" si="18">BE27+BE28+BE29</f>
        <v>641313.31000000006</v>
      </c>
      <c r="BF26" s="113">
        <f t="shared" ref="BF26" si="19">BF27+BF28+BF29</f>
        <v>508827.14999999991</v>
      </c>
      <c r="BG26" s="113">
        <f t="shared" ref="BG26" si="20">BG27+BG28+BG29</f>
        <v>701752.76</v>
      </c>
    </row>
    <row r="27" spans="2:59" x14ac:dyDescent="0.2">
      <c r="C27" s="8">
        <v>520</v>
      </c>
      <c r="D27" s="8" t="s">
        <v>360</v>
      </c>
      <c r="E27" s="19">
        <v>0</v>
      </c>
      <c r="F27" s="19">
        <v>0</v>
      </c>
      <c r="G27" s="19">
        <v>0</v>
      </c>
      <c r="H27" s="19">
        <v>0</v>
      </c>
      <c r="I27" s="19">
        <v>0</v>
      </c>
      <c r="J27" s="19">
        <v>10565.4</v>
      </c>
      <c r="K27" s="19">
        <v>29161.95</v>
      </c>
      <c r="L27" s="19">
        <v>92130.96</v>
      </c>
      <c r="M27" s="19">
        <v>0</v>
      </c>
      <c r="N27" s="19">
        <v>0</v>
      </c>
      <c r="O27" s="19">
        <v>52040.65</v>
      </c>
      <c r="P27" s="19">
        <v>0</v>
      </c>
      <c r="Q27" s="19">
        <v>0</v>
      </c>
      <c r="R27" s="19">
        <v>0</v>
      </c>
      <c r="S27" s="19">
        <v>0</v>
      </c>
      <c r="T27" s="19">
        <v>28210.9</v>
      </c>
      <c r="U27" s="19">
        <v>0</v>
      </c>
      <c r="V27" s="19">
        <v>0</v>
      </c>
      <c r="W27" s="19">
        <v>10419.950000000001</v>
      </c>
      <c r="X27" s="19">
        <v>0</v>
      </c>
      <c r="Y27" s="19">
        <v>0</v>
      </c>
      <c r="Z27" s="19">
        <v>69022</v>
      </c>
      <c r="AA27" s="19">
        <v>0</v>
      </c>
      <c r="AB27" s="19">
        <v>0</v>
      </c>
      <c r="AC27" s="19">
        <v>0</v>
      </c>
      <c r="AD27" s="19">
        <v>29541.9</v>
      </c>
      <c r="AE27" s="19">
        <v>36867.4</v>
      </c>
      <c r="AF27" s="19">
        <v>35151.65</v>
      </c>
      <c r="AG27" s="19">
        <v>58883.5</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f>SUM(E27:BC27)</f>
        <v>451996.26000000007</v>
      </c>
      <c r="BE27" s="19">
        <f>SUM(E27:W27)</f>
        <v>222529.81</v>
      </c>
      <c r="BF27" s="19">
        <f>SUM(X27:AI27)</f>
        <v>229466.44999999998</v>
      </c>
      <c r="BG27" s="19">
        <f>SUM(AJ27:BC27)</f>
        <v>0</v>
      </c>
    </row>
    <row r="28" spans="2:59" x14ac:dyDescent="0.2">
      <c r="C28" s="8">
        <v>521</v>
      </c>
      <c r="D28" s="8" t="s">
        <v>361</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f>SUM(E28:BC28)</f>
        <v>0</v>
      </c>
      <c r="BE28" s="19">
        <f>SUM(E28:W28)</f>
        <v>0</v>
      </c>
      <c r="BF28" s="19">
        <f>SUM(X28:AI28)</f>
        <v>0</v>
      </c>
      <c r="BG28" s="19">
        <f>SUM(AJ28:BC28)</f>
        <v>0</v>
      </c>
    </row>
    <row r="29" spans="2:59" x14ac:dyDescent="0.2">
      <c r="C29" s="8">
        <v>529</v>
      </c>
      <c r="D29" s="8" t="s">
        <v>459</v>
      </c>
      <c r="E29" s="19">
        <v>22622.5</v>
      </c>
      <c r="F29" s="19">
        <v>0</v>
      </c>
      <c r="G29" s="19">
        <v>30870.75</v>
      </c>
      <c r="H29" s="19">
        <v>0</v>
      </c>
      <c r="I29" s="19">
        <v>0</v>
      </c>
      <c r="J29" s="19">
        <v>10000</v>
      </c>
      <c r="K29" s="19">
        <v>0</v>
      </c>
      <c r="L29" s="19">
        <v>0</v>
      </c>
      <c r="M29" s="19">
        <v>38015.699999999997</v>
      </c>
      <c r="N29" s="19">
        <v>0</v>
      </c>
      <c r="O29" s="19">
        <v>181414.8</v>
      </c>
      <c r="P29" s="19">
        <v>0</v>
      </c>
      <c r="Q29" s="19">
        <v>21792.85</v>
      </c>
      <c r="R29" s="19">
        <v>38136.949999999997</v>
      </c>
      <c r="S29" s="19">
        <v>18956.400000000001</v>
      </c>
      <c r="T29" s="19">
        <v>0</v>
      </c>
      <c r="U29" s="19">
        <v>43900.25</v>
      </c>
      <c r="V29" s="19">
        <v>13073.3</v>
      </c>
      <c r="W29" s="19">
        <v>0</v>
      </c>
      <c r="X29" s="19">
        <v>100</v>
      </c>
      <c r="Y29" s="19">
        <v>21589.5</v>
      </c>
      <c r="Z29" s="19">
        <v>6581.85</v>
      </c>
      <c r="AA29" s="19">
        <v>16652.5</v>
      </c>
      <c r="AB29" s="19">
        <v>76286.45</v>
      </c>
      <c r="AC29" s="19">
        <v>0</v>
      </c>
      <c r="AD29" s="19">
        <v>11314.65</v>
      </c>
      <c r="AE29" s="19">
        <v>9496.9</v>
      </c>
      <c r="AF29" s="19">
        <v>11472.75</v>
      </c>
      <c r="AG29" s="19">
        <v>57721.9</v>
      </c>
      <c r="AH29" s="19">
        <v>35151.65</v>
      </c>
      <c r="AI29" s="19">
        <v>32992.550000000003</v>
      </c>
      <c r="AJ29" s="19">
        <v>10155.75</v>
      </c>
      <c r="AK29" s="19">
        <v>50000</v>
      </c>
      <c r="AL29" s="19">
        <v>0</v>
      </c>
      <c r="AM29" s="19">
        <v>28335.55</v>
      </c>
      <c r="AN29" s="19">
        <v>0</v>
      </c>
      <c r="AO29" s="19">
        <v>27608.55</v>
      </c>
      <c r="AP29" s="19">
        <v>0</v>
      </c>
      <c r="AQ29" s="19">
        <v>213420.79999999999</v>
      </c>
      <c r="AR29" s="19">
        <v>8030.5</v>
      </c>
      <c r="AS29" s="19">
        <v>14000</v>
      </c>
      <c r="AT29" s="19">
        <v>11591.2</v>
      </c>
      <c r="AU29" s="19">
        <v>62387.7</v>
      </c>
      <c r="AV29" s="19">
        <v>25505.25</v>
      </c>
      <c r="AW29" s="19">
        <v>47303.45</v>
      </c>
      <c r="AX29" s="19">
        <v>41896.400000000001</v>
      </c>
      <c r="AY29" s="19">
        <v>0</v>
      </c>
      <c r="AZ29" s="19">
        <v>0</v>
      </c>
      <c r="BA29" s="19">
        <v>93042.65</v>
      </c>
      <c r="BB29" s="19">
        <v>68474.960000000006</v>
      </c>
      <c r="BC29" s="19">
        <v>0</v>
      </c>
      <c r="BD29" s="19">
        <f>SUM(E29:BC29)</f>
        <v>1399896.9599999997</v>
      </c>
      <c r="BE29" s="19">
        <f>SUM(E29:W29)</f>
        <v>418783.5</v>
      </c>
      <c r="BF29" s="19">
        <f>SUM(X29:AI29)</f>
        <v>279360.69999999995</v>
      </c>
      <c r="BG29" s="19">
        <f>SUM(AJ29:BC29)</f>
        <v>701752.76</v>
      </c>
    </row>
    <row r="30" spans="2:59"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2:59" ht="15" x14ac:dyDescent="0.25">
      <c r="B31" s="85">
        <v>54</v>
      </c>
      <c r="C31" s="85"/>
      <c r="D31" s="85" t="s">
        <v>246</v>
      </c>
      <c r="E31" s="113">
        <f>E32+E33+E34+E35+E36+E37+E38+E39+E40</f>
        <v>0</v>
      </c>
      <c r="F31" s="113">
        <f t="shared" ref="F31:BC31" si="21">F32+F33+F34+F35+F36+F37+F38+F39+F40</f>
        <v>0</v>
      </c>
      <c r="G31" s="113">
        <f t="shared" si="21"/>
        <v>0</v>
      </c>
      <c r="H31" s="113">
        <f t="shared" si="21"/>
        <v>0</v>
      </c>
      <c r="I31" s="113">
        <f t="shared" si="21"/>
        <v>0</v>
      </c>
      <c r="J31" s="113">
        <f t="shared" si="21"/>
        <v>0</v>
      </c>
      <c r="K31" s="113">
        <f t="shared" si="21"/>
        <v>0</v>
      </c>
      <c r="L31" s="113">
        <f t="shared" si="21"/>
        <v>0</v>
      </c>
      <c r="M31" s="113">
        <f t="shared" si="21"/>
        <v>0</v>
      </c>
      <c r="N31" s="113">
        <f t="shared" si="21"/>
        <v>0</v>
      </c>
      <c r="O31" s="113">
        <f t="shared" si="21"/>
        <v>0</v>
      </c>
      <c r="P31" s="113">
        <f t="shared" si="21"/>
        <v>0</v>
      </c>
      <c r="Q31" s="113">
        <f t="shared" si="21"/>
        <v>0</v>
      </c>
      <c r="R31" s="113">
        <f t="shared" si="21"/>
        <v>0</v>
      </c>
      <c r="S31" s="113">
        <f t="shared" si="21"/>
        <v>0</v>
      </c>
      <c r="T31" s="113">
        <f t="shared" si="21"/>
        <v>0</v>
      </c>
      <c r="U31" s="113">
        <f t="shared" si="21"/>
        <v>0</v>
      </c>
      <c r="V31" s="113">
        <f t="shared" si="21"/>
        <v>0</v>
      </c>
      <c r="W31" s="113">
        <f t="shared" si="21"/>
        <v>0</v>
      </c>
      <c r="X31" s="113">
        <f t="shared" si="21"/>
        <v>0</v>
      </c>
      <c r="Y31" s="113">
        <f t="shared" si="21"/>
        <v>0</v>
      </c>
      <c r="Z31" s="113">
        <f t="shared" si="21"/>
        <v>0</v>
      </c>
      <c r="AA31" s="113">
        <f t="shared" si="21"/>
        <v>0</v>
      </c>
      <c r="AB31" s="113">
        <f t="shared" si="21"/>
        <v>0</v>
      </c>
      <c r="AC31" s="113">
        <f t="shared" si="21"/>
        <v>0</v>
      </c>
      <c r="AD31" s="113">
        <f t="shared" si="21"/>
        <v>0</v>
      </c>
      <c r="AE31" s="113">
        <f t="shared" si="21"/>
        <v>0</v>
      </c>
      <c r="AF31" s="113">
        <f t="shared" si="21"/>
        <v>0</v>
      </c>
      <c r="AG31" s="113">
        <f t="shared" si="21"/>
        <v>0</v>
      </c>
      <c r="AH31" s="113">
        <f t="shared" si="21"/>
        <v>0</v>
      </c>
      <c r="AI31" s="113">
        <f t="shared" si="21"/>
        <v>0</v>
      </c>
      <c r="AJ31" s="113">
        <f t="shared" si="21"/>
        <v>0</v>
      </c>
      <c r="AK31" s="113">
        <f t="shared" si="21"/>
        <v>0</v>
      </c>
      <c r="AL31" s="113">
        <f t="shared" si="21"/>
        <v>0</v>
      </c>
      <c r="AM31" s="113">
        <f t="shared" si="21"/>
        <v>0</v>
      </c>
      <c r="AN31" s="113">
        <f t="shared" si="21"/>
        <v>0</v>
      </c>
      <c r="AO31" s="113">
        <f t="shared" si="21"/>
        <v>0</v>
      </c>
      <c r="AP31" s="113">
        <f t="shared" si="21"/>
        <v>0</v>
      </c>
      <c r="AQ31" s="113">
        <f t="shared" si="21"/>
        <v>0</v>
      </c>
      <c r="AR31" s="113">
        <f t="shared" si="21"/>
        <v>0</v>
      </c>
      <c r="AS31" s="113">
        <f t="shared" si="21"/>
        <v>0</v>
      </c>
      <c r="AT31" s="113">
        <f t="shared" si="21"/>
        <v>0</v>
      </c>
      <c r="AU31" s="113">
        <f t="shared" si="21"/>
        <v>0</v>
      </c>
      <c r="AV31" s="113">
        <f t="shared" si="21"/>
        <v>0</v>
      </c>
      <c r="AW31" s="113">
        <f t="shared" si="21"/>
        <v>0</v>
      </c>
      <c r="AX31" s="113">
        <f t="shared" si="21"/>
        <v>0</v>
      </c>
      <c r="AY31" s="113">
        <f t="shared" si="21"/>
        <v>0</v>
      </c>
      <c r="AZ31" s="113">
        <f t="shared" si="21"/>
        <v>0</v>
      </c>
      <c r="BA31" s="113">
        <f t="shared" si="21"/>
        <v>0</v>
      </c>
      <c r="BB31" s="113">
        <f t="shared" si="21"/>
        <v>0</v>
      </c>
      <c r="BC31" s="113">
        <f t="shared" si="21"/>
        <v>0</v>
      </c>
      <c r="BD31" s="113">
        <f t="shared" ref="BD31" si="22">BD32+BD33+BD34+BD35+BD36+BD37+BD38+BD39+BD40</f>
        <v>0</v>
      </c>
      <c r="BE31" s="113">
        <f t="shared" ref="BE31" si="23">BE32+BE33+BE34+BE35+BE36+BE37+BE38+BE39+BE40</f>
        <v>0</v>
      </c>
      <c r="BF31" s="113">
        <f t="shared" ref="BF31" si="24">BF32+BF33+BF34+BF35+BF36+BF37+BF38+BF39+BF40</f>
        <v>0</v>
      </c>
      <c r="BG31" s="113">
        <f t="shared" ref="BG31" si="25">BG32+BG33+BG34+BG35+BG36+BG37+BG38+BG39+BG40</f>
        <v>0</v>
      </c>
    </row>
    <row r="32" spans="2:59" x14ac:dyDescent="0.2">
      <c r="C32" s="8">
        <v>540</v>
      </c>
      <c r="D32" s="8" t="s">
        <v>460</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f t="shared" ref="BD32:BD40" si="26">SUM(E32:BC32)</f>
        <v>0</v>
      </c>
      <c r="BE32" s="19">
        <f t="shared" ref="BE32:BE40" si="27">SUM(E32:W32)</f>
        <v>0</v>
      </c>
      <c r="BF32" s="19">
        <f t="shared" ref="BF32:BF40" si="28">SUM(X32:AI32)</f>
        <v>0</v>
      </c>
      <c r="BG32" s="19">
        <f t="shared" ref="BG32:BG40" si="29">SUM(AJ32:BC32)</f>
        <v>0</v>
      </c>
    </row>
    <row r="33" spans="2:59" x14ac:dyDescent="0.2">
      <c r="C33" s="8">
        <v>541</v>
      </c>
      <c r="D33" s="8" t="s">
        <v>461</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f t="shared" si="26"/>
        <v>0</v>
      </c>
      <c r="BE33" s="19">
        <f t="shared" si="27"/>
        <v>0</v>
      </c>
      <c r="BF33" s="19">
        <f t="shared" si="28"/>
        <v>0</v>
      </c>
      <c r="BG33" s="19">
        <f t="shared" si="29"/>
        <v>0</v>
      </c>
    </row>
    <row r="34" spans="2:59" x14ac:dyDescent="0.2">
      <c r="C34" s="8">
        <v>542</v>
      </c>
      <c r="D34" s="8" t="s">
        <v>462</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f t="shared" si="26"/>
        <v>0</v>
      </c>
      <c r="BE34" s="19">
        <f t="shared" si="27"/>
        <v>0</v>
      </c>
      <c r="BF34" s="19">
        <f t="shared" si="28"/>
        <v>0</v>
      </c>
      <c r="BG34" s="19">
        <f t="shared" si="29"/>
        <v>0</v>
      </c>
    </row>
    <row r="35" spans="2:59" x14ac:dyDescent="0.2">
      <c r="C35" s="8">
        <v>543</v>
      </c>
      <c r="D35" s="8" t="s">
        <v>463</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f t="shared" si="26"/>
        <v>0</v>
      </c>
      <c r="BE35" s="19">
        <f t="shared" si="27"/>
        <v>0</v>
      </c>
      <c r="BF35" s="19">
        <f t="shared" si="28"/>
        <v>0</v>
      </c>
      <c r="BG35" s="19">
        <f t="shared" si="29"/>
        <v>0</v>
      </c>
    </row>
    <row r="36" spans="2:59" x14ac:dyDescent="0.2">
      <c r="C36" s="8">
        <v>544</v>
      </c>
      <c r="D36" s="8" t="s">
        <v>464</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f t="shared" si="26"/>
        <v>0</v>
      </c>
      <c r="BE36" s="19">
        <f t="shared" si="27"/>
        <v>0</v>
      </c>
      <c r="BF36" s="19">
        <f t="shared" si="28"/>
        <v>0</v>
      </c>
      <c r="BG36" s="19">
        <f t="shared" si="29"/>
        <v>0</v>
      </c>
    </row>
    <row r="37" spans="2:59" x14ac:dyDescent="0.2">
      <c r="C37" s="8">
        <v>545</v>
      </c>
      <c r="D37" s="8" t="s">
        <v>465</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f t="shared" si="26"/>
        <v>0</v>
      </c>
      <c r="BE37" s="19">
        <f t="shared" si="27"/>
        <v>0</v>
      </c>
      <c r="BF37" s="19">
        <f t="shared" si="28"/>
        <v>0</v>
      </c>
      <c r="BG37" s="19">
        <f t="shared" si="29"/>
        <v>0</v>
      </c>
    </row>
    <row r="38" spans="2:59" x14ac:dyDescent="0.2">
      <c r="C38" s="8">
        <v>546</v>
      </c>
      <c r="D38" s="8" t="s">
        <v>466</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f t="shared" si="26"/>
        <v>0</v>
      </c>
      <c r="BE38" s="19">
        <f t="shared" si="27"/>
        <v>0</v>
      </c>
      <c r="BF38" s="19">
        <f t="shared" si="28"/>
        <v>0</v>
      </c>
      <c r="BG38" s="19">
        <f t="shared" si="29"/>
        <v>0</v>
      </c>
    </row>
    <row r="39" spans="2:59" x14ac:dyDescent="0.2">
      <c r="C39" s="8">
        <v>547</v>
      </c>
      <c r="D39" s="8" t="s">
        <v>467</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f t="shared" si="26"/>
        <v>0</v>
      </c>
      <c r="BE39" s="19">
        <f t="shared" si="27"/>
        <v>0</v>
      </c>
      <c r="BF39" s="19">
        <f t="shared" si="28"/>
        <v>0</v>
      </c>
      <c r="BG39" s="19">
        <f t="shared" si="29"/>
        <v>0</v>
      </c>
    </row>
    <row r="40" spans="2:59" x14ac:dyDescent="0.2">
      <c r="C40" s="8">
        <v>548</v>
      </c>
      <c r="D40" s="8" t="s">
        <v>468</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f t="shared" si="26"/>
        <v>0</v>
      </c>
      <c r="BE40" s="19">
        <f t="shared" si="27"/>
        <v>0</v>
      </c>
      <c r="BF40" s="19">
        <f t="shared" si="28"/>
        <v>0</v>
      </c>
      <c r="BG40" s="19">
        <f t="shared" si="29"/>
        <v>0</v>
      </c>
    </row>
    <row r="41" spans="2:59"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row>
    <row r="42" spans="2:59" ht="15" x14ac:dyDescent="0.25">
      <c r="B42" s="85">
        <v>55</v>
      </c>
      <c r="C42" s="85"/>
      <c r="D42" s="85" t="s">
        <v>373</v>
      </c>
      <c r="E42" s="113">
        <f>E43+E44+E45+E46+E47+E48+E49+E50+E51</f>
        <v>0</v>
      </c>
      <c r="F42" s="113">
        <f t="shared" ref="F42:BC42" si="30">F43+F44+F45+F46+F47+F48+F49+F50+F51</f>
        <v>0</v>
      </c>
      <c r="G42" s="113">
        <f t="shared" si="30"/>
        <v>0</v>
      </c>
      <c r="H42" s="113">
        <f t="shared" si="30"/>
        <v>0</v>
      </c>
      <c r="I42" s="113">
        <f t="shared" si="30"/>
        <v>0</v>
      </c>
      <c r="J42" s="113">
        <f t="shared" si="30"/>
        <v>0</v>
      </c>
      <c r="K42" s="113">
        <f t="shared" si="30"/>
        <v>0</v>
      </c>
      <c r="L42" s="113">
        <f t="shared" si="30"/>
        <v>0</v>
      </c>
      <c r="M42" s="113">
        <f t="shared" si="30"/>
        <v>0</v>
      </c>
      <c r="N42" s="113">
        <f t="shared" si="30"/>
        <v>0</v>
      </c>
      <c r="O42" s="113">
        <f t="shared" si="30"/>
        <v>0</v>
      </c>
      <c r="P42" s="113">
        <f t="shared" si="30"/>
        <v>0</v>
      </c>
      <c r="Q42" s="113">
        <f t="shared" si="30"/>
        <v>0</v>
      </c>
      <c r="R42" s="113">
        <f t="shared" si="30"/>
        <v>0</v>
      </c>
      <c r="S42" s="113">
        <f t="shared" si="30"/>
        <v>0</v>
      </c>
      <c r="T42" s="113">
        <f t="shared" si="30"/>
        <v>0</v>
      </c>
      <c r="U42" s="113">
        <f t="shared" si="30"/>
        <v>0</v>
      </c>
      <c r="V42" s="113">
        <f t="shared" si="30"/>
        <v>0</v>
      </c>
      <c r="W42" s="113">
        <f t="shared" si="30"/>
        <v>0</v>
      </c>
      <c r="X42" s="113">
        <f t="shared" si="30"/>
        <v>0</v>
      </c>
      <c r="Y42" s="113">
        <f t="shared" si="30"/>
        <v>0</v>
      </c>
      <c r="Z42" s="113">
        <f t="shared" si="30"/>
        <v>0</v>
      </c>
      <c r="AA42" s="113">
        <f t="shared" si="30"/>
        <v>0</v>
      </c>
      <c r="AB42" s="113">
        <f t="shared" si="30"/>
        <v>0</v>
      </c>
      <c r="AC42" s="113">
        <f t="shared" si="30"/>
        <v>0</v>
      </c>
      <c r="AD42" s="113">
        <f t="shared" si="30"/>
        <v>0</v>
      </c>
      <c r="AE42" s="113">
        <f t="shared" si="30"/>
        <v>0</v>
      </c>
      <c r="AF42" s="113">
        <f t="shared" si="30"/>
        <v>0</v>
      </c>
      <c r="AG42" s="113">
        <f t="shared" si="30"/>
        <v>0</v>
      </c>
      <c r="AH42" s="113">
        <f t="shared" si="30"/>
        <v>0</v>
      </c>
      <c r="AI42" s="113">
        <f t="shared" si="30"/>
        <v>0</v>
      </c>
      <c r="AJ42" s="113">
        <f t="shared" si="30"/>
        <v>0</v>
      </c>
      <c r="AK42" s="113">
        <f t="shared" si="30"/>
        <v>0</v>
      </c>
      <c r="AL42" s="113">
        <f t="shared" si="30"/>
        <v>0</v>
      </c>
      <c r="AM42" s="113">
        <f t="shared" si="30"/>
        <v>0</v>
      </c>
      <c r="AN42" s="113">
        <f t="shared" si="30"/>
        <v>0</v>
      </c>
      <c r="AO42" s="113">
        <f t="shared" si="30"/>
        <v>0</v>
      </c>
      <c r="AP42" s="113">
        <f t="shared" si="30"/>
        <v>0</v>
      </c>
      <c r="AQ42" s="113">
        <f t="shared" si="30"/>
        <v>0</v>
      </c>
      <c r="AR42" s="113">
        <f t="shared" si="30"/>
        <v>0</v>
      </c>
      <c r="AS42" s="113">
        <f t="shared" si="30"/>
        <v>0</v>
      </c>
      <c r="AT42" s="113">
        <f t="shared" si="30"/>
        <v>0</v>
      </c>
      <c r="AU42" s="113">
        <f t="shared" si="30"/>
        <v>0</v>
      </c>
      <c r="AV42" s="113">
        <f t="shared" si="30"/>
        <v>0</v>
      </c>
      <c r="AW42" s="113">
        <f t="shared" si="30"/>
        <v>0</v>
      </c>
      <c r="AX42" s="113">
        <f t="shared" si="30"/>
        <v>0</v>
      </c>
      <c r="AY42" s="113">
        <f t="shared" si="30"/>
        <v>0</v>
      </c>
      <c r="AZ42" s="113">
        <f t="shared" si="30"/>
        <v>0</v>
      </c>
      <c r="BA42" s="113">
        <f t="shared" si="30"/>
        <v>0</v>
      </c>
      <c r="BB42" s="113">
        <f t="shared" si="30"/>
        <v>0</v>
      </c>
      <c r="BC42" s="113">
        <f t="shared" si="30"/>
        <v>0</v>
      </c>
      <c r="BD42" s="113">
        <f t="shared" ref="BD42" si="31">BD43+BD44+BD45+BD46+BD47+BD48+BD49+BD50+BD51</f>
        <v>0</v>
      </c>
      <c r="BE42" s="113">
        <f t="shared" ref="BE42" si="32">BE43+BE44+BE45+BE46+BE47+BE48+BE49+BE50+BE51</f>
        <v>0</v>
      </c>
      <c r="BF42" s="113">
        <f t="shared" ref="BF42" si="33">BF43+BF44+BF45+BF46+BF47+BF48+BF49+BF50+BF51</f>
        <v>0</v>
      </c>
      <c r="BG42" s="113">
        <f t="shared" ref="BG42" si="34">BG43+BG44+BG45+BG46+BG47+BG48+BG49+BG50+BG51</f>
        <v>0</v>
      </c>
    </row>
    <row r="43" spans="2:59" x14ac:dyDescent="0.2">
      <c r="C43" s="8">
        <v>550</v>
      </c>
      <c r="D43" s="8" t="s">
        <v>460</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f t="shared" ref="BD43:BD51" si="35">SUM(E43:BC43)</f>
        <v>0</v>
      </c>
      <c r="BE43" s="19">
        <f t="shared" ref="BE43:BE51" si="36">SUM(E43:W43)</f>
        <v>0</v>
      </c>
      <c r="BF43" s="19">
        <f t="shared" ref="BF43:BF51" si="37">SUM(X43:AI43)</f>
        <v>0</v>
      </c>
      <c r="BG43" s="19">
        <f t="shared" ref="BG43:BG51" si="38">SUM(AJ43:BC43)</f>
        <v>0</v>
      </c>
    </row>
    <row r="44" spans="2:59" x14ac:dyDescent="0.2">
      <c r="C44" s="8">
        <v>551</v>
      </c>
      <c r="D44" s="8" t="s">
        <v>461</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f t="shared" si="35"/>
        <v>0</v>
      </c>
      <c r="BE44" s="19">
        <f t="shared" si="36"/>
        <v>0</v>
      </c>
      <c r="BF44" s="19">
        <f t="shared" si="37"/>
        <v>0</v>
      </c>
      <c r="BG44" s="19">
        <f t="shared" si="38"/>
        <v>0</v>
      </c>
    </row>
    <row r="45" spans="2:59" x14ac:dyDescent="0.2">
      <c r="C45" s="8">
        <v>552</v>
      </c>
      <c r="D45" s="8" t="s">
        <v>462</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f t="shared" si="35"/>
        <v>0</v>
      </c>
      <c r="BE45" s="19">
        <f t="shared" si="36"/>
        <v>0</v>
      </c>
      <c r="BF45" s="19">
        <f t="shared" si="37"/>
        <v>0</v>
      </c>
      <c r="BG45" s="19">
        <f t="shared" si="38"/>
        <v>0</v>
      </c>
    </row>
    <row r="46" spans="2:59" x14ac:dyDescent="0.2">
      <c r="C46" s="8">
        <v>553</v>
      </c>
      <c r="D46" s="8" t="s">
        <v>463</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f t="shared" si="35"/>
        <v>0</v>
      </c>
      <c r="BE46" s="19">
        <f t="shared" si="36"/>
        <v>0</v>
      </c>
      <c r="BF46" s="19">
        <f t="shared" si="37"/>
        <v>0</v>
      </c>
      <c r="BG46" s="19">
        <f t="shared" si="38"/>
        <v>0</v>
      </c>
    </row>
    <row r="47" spans="2:59" x14ac:dyDescent="0.2">
      <c r="C47" s="8">
        <v>554</v>
      </c>
      <c r="D47" s="8" t="s">
        <v>464</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f t="shared" si="35"/>
        <v>0</v>
      </c>
      <c r="BE47" s="19">
        <f t="shared" si="36"/>
        <v>0</v>
      </c>
      <c r="BF47" s="19">
        <f t="shared" si="37"/>
        <v>0</v>
      </c>
      <c r="BG47" s="19">
        <f t="shared" si="38"/>
        <v>0</v>
      </c>
    </row>
    <row r="48" spans="2:59" x14ac:dyDescent="0.2">
      <c r="C48" s="8">
        <v>555</v>
      </c>
      <c r="D48" s="8" t="s">
        <v>465</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f t="shared" si="35"/>
        <v>0</v>
      </c>
      <c r="BE48" s="19">
        <f t="shared" si="36"/>
        <v>0</v>
      </c>
      <c r="BF48" s="19">
        <f t="shared" si="37"/>
        <v>0</v>
      </c>
      <c r="BG48" s="19">
        <f t="shared" si="38"/>
        <v>0</v>
      </c>
    </row>
    <row r="49" spans="2:59" x14ac:dyDescent="0.2">
      <c r="C49" s="8">
        <v>556</v>
      </c>
      <c r="D49" s="8" t="s">
        <v>466</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f t="shared" si="35"/>
        <v>0</v>
      </c>
      <c r="BE49" s="19">
        <f t="shared" si="36"/>
        <v>0</v>
      </c>
      <c r="BF49" s="19">
        <f t="shared" si="37"/>
        <v>0</v>
      </c>
      <c r="BG49" s="19">
        <f t="shared" si="38"/>
        <v>0</v>
      </c>
    </row>
    <row r="50" spans="2:59" x14ac:dyDescent="0.2">
      <c r="C50" s="8">
        <v>557</v>
      </c>
      <c r="D50" s="8" t="s">
        <v>467</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f t="shared" si="35"/>
        <v>0</v>
      </c>
      <c r="BE50" s="19">
        <f t="shared" si="36"/>
        <v>0</v>
      </c>
      <c r="BF50" s="19">
        <f t="shared" si="37"/>
        <v>0</v>
      </c>
      <c r="BG50" s="19">
        <f t="shared" si="38"/>
        <v>0</v>
      </c>
    </row>
    <row r="51" spans="2:59" x14ac:dyDescent="0.2">
      <c r="C51" s="8">
        <v>558</v>
      </c>
      <c r="D51" s="8" t="s">
        <v>468</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f t="shared" si="35"/>
        <v>0</v>
      </c>
      <c r="BE51" s="19">
        <f t="shared" si="36"/>
        <v>0</v>
      </c>
      <c r="BF51" s="19">
        <f t="shared" si="37"/>
        <v>0</v>
      </c>
      <c r="BG51" s="19">
        <f t="shared" si="38"/>
        <v>0</v>
      </c>
    </row>
    <row r="52" spans="2:59"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row>
    <row r="53" spans="2:59" ht="15" x14ac:dyDescent="0.25">
      <c r="B53" s="85">
        <v>56</v>
      </c>
      <c r="C53" s="85"/>
      <c r="D53" s="85" t="s">
        <v>469</v>
      </c>
      <c r="E53" s="113">
        <f>E54+E55+E56+E57+E58+E59+E60+E61+E62</f>
        <v>0</v>
      </c>
      <c r="F53" s="113">
        <f t="shared" ref="F53:BC53" si="39">F54+F55+F56+F57+F58+F59+F60+F61+F62</f>
        <v>0</v>
      </c>
      <c r="G53" s="113">
        <f t="shared" si="39"/>
        <v>0</v>
      </c>
      <c r="H53" s="113">
        <f t="shared" si="39"/>
        <v>0</v>
      </c>
      <c r="I53" s="113">
        <f t="shared" si="39"/>
        <v>0</v>
      </c>
      <c r="J53" s="113">
        <f t="shared" si="39"/>
        <v>0</v>
      </c>
      <c r="K53" s="113">
        <f t="shared" si="39"/>
        <v>0</v>
      </c>
      <c r="L53" s="113">
        <f t="shared" si="39"/>
        <v>0</v>
      </c>
      <c r="M53" s="113">
        <f t="shared" si="39"/>
        <v>0</v>
      </c>
      <c r="N53" s="113">
        <f t="shared" si="39"/>
        <v>0</v>
      </c>
      <c r="O53" s="113">
        <f t="shared" si="39"/>
        <v>0</v>
      </c>
      <c r="P53" s="113">
        <f t="shared" si="39"/>
        <v>0</v>
      </c>
      <c r="Q53" s="113">
        <f t="shared" si="39"/>
        <v>4328.2</v>
      </c>
      <c r="R53" s="113">
        <f t="shared" si="39"/>
        <v>0</v>
      </c>
      <c r="S53" s="113">
        <f t="shared" si="39"/>
        <v>0</v>
      </c>
      <c r="T53" s="113">
        <f t="shared" si="39"/>
        <v>0</v>
      </c>
      <c r="U53" s="113">
        <f t="shared" si="39"/>
        <v>0</v>
      </c>
      <c r="V53" s="113">
        <f t="shared" si="39"/>
        <v>0</v>
      </c>
      <c r="W53" s="113">
        <f t="shared" si="39"/>
        <v>0</v>
      </c>
      <c r="X53" s="113">
        <f t="shared" si="39"/>
        <v>0</v>
      </c>
      <c r="Y53" s="113">
        <f t="shared" si="39"/>
        <v>0</v>
      </c>
      <c r="Z53" s="113">
        <f t="shared" si="39"/>
        <v>0</v>
      </c>
      <c r="AA53" s="113">
        <f t="shared" si="39"/>
        <v>0</v>
      </c>
      <c r="AB53" s="113">
        <f t="shared" si="39"/>
        <v>0</v>
      </c>
      <c r="AC53" s="113">
        <f t="shared" si="39"/>
        <v>0</v>
      </c>
      <c r="AD53" s="113">
        <f t="shared" si="39"/>
        <v>0</v>
      </c>
      <c r="AE53" s="113">
        <f t="shared" si="39"/>
        <v>0</v>
      </c>
      <c r="AF53" s="113">
        <f t="shared" si="39"/>
        <v>0</v>
      </c>
      <c r="AG53" s="113">
        <f t="shared" si="39"/>
        <v>0</v>
      </c>
      <c r="AH53" s="113">
        <f t="shared" si="39"/>
        <v>0</v>
      </c>
      <c r="AI53" s="113">
        <f t="shared" si="39"/>
        <v>0</v>
      </c>
      <c r="AJ53" s="113">
        <f t="shared" si="39"/>
        <v>0</v>
      </c>
      <c r="AK53" s="113">
        <f t="shared" si="39"/>
        <v>0</v>
      </c>
      <c r="AL53" s="113">
        <f t="shared" si="39"/>
        <v>0</v>
      </c>
      <c r="AM53" s="113">
        <f t="shared" si="39"/>
        <v>0</v>
      </c>
      <c r="AN53" s="113">
        <f t="shared" si="39"/>
        <v>0</v>
      </c>
      <c r="AO53" s="113">
        <f t="shared" si="39"/>
        <v>0</v>
      </c>
      <c r="AP53" s="113">
        <f t="shared" si="39"/>
        <v>0</v>
      </c>
      <c r="AQ53" s="113">
        <f t="shared" si="39"/>
        <v>0</v>
      </c>
      <c r="AR53" s="113">
        <f t="shared" si="39"/>
        <v>0</v>
      </c>
      <c r="AS53" s="113">
        <f t="shared" si="39"/>
        <v>0</v>
      </c>
      <c r="AT53" s="113">
        <f t="shared" si="39"/>
        <v>0</v>
      </c>
      <c r="AU53" s="113">
        <f t="shared" si="39"/>
        <v>0</v>
      </c>
      <c r="AV53" s="113">
        <f t="shared" si="39"/>
        <v>0</v>
      </c>
      <c r="AW53" s="113">
        <f t="shared" si="39"/>
        <v>0</v>
      </c>
      <c r="AX53" s="113">
        <f t="shared" si="39"/>
        <v>0</v>
      </c>
      <c r="AY53" s="113">
        <f t="shared" si="39"/>
        <v>0</v>
      </c>
      <c r="AZ53" s="113">
        <f t="shared" si="39"/>
        <v>0</v>
      </c>
      <c r="BA53" s="113">
        <f t="shared" si="39"/>
        <v>0</v>
      </c>
      <c r="BB53" s="113">
        <f t="shared" si="39"/>
        <v>0</v>
      </c>
      <c r="BC53" s="113">
        <f t="shared" si="39"/>
        <v>0</v>
      </c>
      <c r="BD53" s="113">
        <f t="shared" ref="BD53" si="40">BD54+BD55+BD56+BD57+BD58+BD59+BD60+BD61+BD62</f>
        <v>4328.2</v>
      </c>
      <c r="BE53" s="113">
        <f t="shared" ref="BE53" si="41">BE54+BE55+BE56+BE57+BE58+BE59+BE60+BE61+BE62</f>
        <v>4328.2</v>
      </c>
      <c r="BF53" s="113">
        <f t="shared" ref="BF53" si="42">BF54+BF55+BF56+BF57+BF58+BF59+BF60+BF61+BF62</f>
        <v>0</v>
      </c>
      <c r="BG53" s="113">
        <f t="shared" ref="BG53" si="43">BG54+BG55+BG56+BG57+BG58+BG59+BG60+BG61+BG62</f>
        <v>0</v>
      </c>
    </row>
    <row r="54" spans="2:59" x14ac:dyDescent="0.2">
      <c r="C54" s="8">
        <v>560</v>
      </c>
      <c r="D54" s="8" t="s">
        <v>460</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f t="shared" ref="BD54:BD62" si="44">SUM(E54:BC54)</f>
        <v>0</v>
      </c>
      <c r="BE54" s="19">
        <f t="shared" ref="BE54:BE62" si="45">SUM(E54:W54)</f>
        <v>0</v>
      </c>
      <c r="BF54" s="19">
        <f t="shared" ref="BF54:BF62" si="46">SUM(X54:AI54)</f>
        <v>0</v>
      </c>
      <c r="BG54" s="19">
        <f t="shared" ref="BG54:BG62" si="47">SUM(AJ54:BC54)</f>
        <v>0</v>
      </c>
    </row>
    <row r="55" spans="2:59" x14ac:dyDescent="0.2">
      <c r="C55" s="8">
        <v>561</v>
      </c>
      <c r="D55" s="8" t="s">
        <v>461</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f t="shared" si="44"/>
        <v>0</v>
      </c>
      <c r="BE55" s="19">
        <f t="shared" si="45"/>
        <v>0</v>
      </c>
      <c r="BF55" s="19">
        <f t="shared" si="46"/>
        <v>0</v>
      </c>
      <c r="BG55" s="19">
        <f t="shared" si="47"/>
        <v>0</v>
      </c>
    </row>
    <row r="56" spans="2:59" x14ac:dyDescent="0.2">
      <c r="C56" s="8">
        <v>562</v>
      </c>
      <c r="D56" s="8" t="s">
        <v>462</v>
      </c>
      <c r="E56" s="19">
        <v>0</v>
      </c>
      <c r="F56" s="19">
        <v>0</v>
      </c>
      <c r="G56" s="19">
        <v>0</v>
      </c>
      <c r="H56" s="19">
        <v>0</v>
      </c>
      <c r="I56" s="19">
        <v>0</v>
      </c>
      <c r="J56" s="19">
        <v>0</v>
      </c>
      <c r="K56" s="19">
        <v>0</v>
      </c>
      <c r="L56" s="19">
        <v>0</v>
      </c>
      <c r="M56" s="19">
        <v>0</v>
      </c>
      <c r="N56" s="19">
        <v>0</v>
      </c>
      <c r="O56" s="19">
        <v>0</v>
      </c>
      <c r="P56" s="19">
        <v>0</v>
      </c>
      <c r="Q56" s="19">
        <v>4328.2</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f t="shared" si="44"/>
        <v>4328.2</v>
      </c>
      <c r="BE56" s="19">
        <f t="shared" si="45"/>
        <v>4328.2</v>
      </c>
      <c r="BF56" s="19">
        <f t="shared" si="46"/>
        <v>0</v>
      </c>
      <c r="BG56" s="19">
        <f t="shared" si="47"/>
        <v>0</v>
      </c>
    </row>
    <row r="57" spans="2:59" x14ac:dyDescent="0.2">
      <c r="C57" s="8">
        <v>563</v>
      </c>
      <c r="D57" s="8" t="s">
        <v>463</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f t="shared" si="44"/>
        <v>0</v>
      </c>
      <c r="BE57" s="19">
        <f t="shared" si="45"/>
        <v>0</v>
      </c>
      <c r="BF57" s="19">
        <f t="shared" si="46"/>
        <v>0</v>
      </c>
      <c r="BG57" s="19">
        <f t="shared" si="47"/>
        <v>0</v>
      </c>
    </row>
    <row r="58" spans="2:59" x14ac:dyDescent="0.2">
      <c r="C58" s="8">
        <v>564</v>
      </c>
      <c r="D58" s="8" t="s">
        <v>464</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f t="shared" si="44"/>
        <v>0</v>
      </c>
      <c r="BE58" s="19">
        <f t="shared" si="45"/>
        <v>0</v>
      </c>
      <c r="BF58" s="19">
        <f t="shared" si="46"/>
        <v>0</v>
      </c>
      <c r="BG58" s="19">
        <f t="shared" si="47"/>
        <v>0</v>
      </c>
    </row>
    <row r="59" spans="2:59" x14ac:dyDescent="0.2">
      <c r="C59" s="8">
        <v>565</v>
      </c>
      <c r="D59" s="8" t="s">
        <v>465</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f t="shared" si="44"/>
        <v>0</v>
      </c>
      <c r="BE59" s="19">
        <f t="shared" si="45"/>
        <v>0</v>
      </c>
      <c r="BF59" s="19">
        <f t="shared" si="46"/>
        <v>0</v>
      </c>
      <c r="BG59" s="19">
        <f t="shared" si="47"/>
        <v>0</v>
      </c>
    </row>
    <row r="60" spans="2:59" x14ac:dyDescent="0.2">
      <c r="C60" s="8">
        <v>566</v>
      </c>
      <c r="D60" s="8" t="s">
        <v>466</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f t="shared" si="44"/>
        <v>0</v>
      </c>
      <c r="BE60" s="19">
        <f t="shared" si="45"/>
        <v>0</v>
      </c>
      <c r="BF60" s="19">
        <f t="shared" si="46"/>
        <v>0</v>
      </c>
      <c r="BG60" s="19">
        <f t="shared" si="47"/>
        <v>0</v>
      </c>
    </row>
    <row r="61" spans="2:59" x14ac:dyDescent="0.2">
      <c r="C61" s="8">
        <v>567</v>
      </c>
      <c r="D61" s="8" t="s">
        <v>467</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f t="shared" si="44"/>
        <v>0</v>
      </c>
      <c r="BE61" s="19">
        <f t="shared" si="45"/>
        <v>0</v>
      </c>
      <c r="BF61" s="19">
        <f t="shared" si="46"/>
        <v>0</v>
      </c>
      <c r="BG61" s="19">
        <f t="shared" si="47"/>
        <v>0</v>
      </c>
    </row>
    <row r="62" spans="2:59" x14ac:dyDescent="0.2">
      <c r="C62" s="8">
        <v>568</v>
      </c>
      <c r="D62" s="8" t="s">
        <v>468</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f t="shared" si="44"/>
        <v>0</v>
      </c>
      <c r="BE62" s="19">
        <f t="shared" si="45"/>
        <v>0</v>
      </c>
      <c r="BF62" s="19">
        <f t="shared" si="46"/>
        <v>0</v>
      </c>
      <c r="BG62" s="19">
        <f t="shared" si="47"/>
        <v>0</v>
      </c>
    </row>
    <row r="63" spans="2:59"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row>
    <row r="64" spans="2:59" ht="15" x14ac:dyDescent="0.25">
      <c r="B64" s="85">
        <v>57</v>
      </c>
      <c r="C64" s="85"/>
      <c r="D64" s="85" t="s">
        <v>470</v>
      </c>
      <c r="E64" s="113">
        <f>E65+E66+E67+E68+E69+E70+E71+E72+E73</f>
        <v>0</v>
      </c>
      <c r="F64" s="113">
        <f t="shared" ref="F64:BC64" si="48">F65+F66+F67+F68+F69+F70+F71+F72+F73</f>
        <v>0</v>
      </c>
      <c r="G64" s="113">
        <f t="shared" si="48"/>
        <v>0</v>
      </c>
      <c r="H64" s="113">
        <f t="shared" si="48"/>
        <v>0</v>
      </c>
      <c r="I64" s="113">
        <f t="shared" si="48"/>
        <v>0</v>
      </c>
      <c r="J64" s="113">
        <f t="shared" si="48"/>
        <v>0</v>
      </c>
      <c r="K64" s="113">
        <f t="shared" si="48"/>
        <v>0</v>
      </c>
      <c r="L64" s="113">
        <f t="shared" si="48"/>
        <v>0</v>
      </c>
      <c r="M64" s="113">
        <f t="shared" si="48"/>
        <v>0</v>
      </c>
      <c r="N64" s="113">
        <f t="shared" si="48"/>
        <v>0</v>
      </c>
      <c r="O64" s="113">
        <f t="shared" si="48"/>
        <v>0</v>
      </c>
      <c r="P64" s="113">
        <f t="shared" si="48"/>
        <v>0</v>
      </c>
      <c r="Q64" s="113">
        <f t="shared" si="48"/>
        <v>0</v>
      </c>
      <c r="R64" s="113">
        <f t="shared" si="48"/>
        <v>0</v>
      </c>
      <c r="S64" s="113">
        <f t="shared" si="48"/>
        <v>0</v>
      </c>
      <c r="T64" s="113">
        <f t="shared" si="48"/>
        <v>0</v>
      </c>
      <c r="U64" s="113">
        <f t="shared" si="48"/>
        <v>0</v>
      </c>
      <c r="V64" s="113">
        <f t="shared" si="48"/>
        <v>0</v>
      </c>
      <c r="W64" s="113">
        <f t="shared" si="48"/>
        <v>0</v>
      </c>
      <c r="X64" s="113">
        <f t="shared" si="48"/>
        <v>0</v>
      </c>
      <c r="Y64" s="113">
        <f t="shared" si="48"/>
        <v>0</v>
      </c>
      <c r="Z64" s="113">
        <f t="shared" si="48"/>
        <v>0</v>
      </c>
      <c r="AA64" s="113">
        <f t="shared" si="48"/>
        <v>0</v>
      </c>
      <c r="AB64" s="113">
        <f t="shared" si="48"/>
        <v>0</v>
      </c>
      <c r="AC64" s="113">
        <f t="shared" si="48"/>
        <v>0</v>
      </c>
      <c r="AD64" s="113">
        <f t="shared" si="48"/>
        <v>0</v>
      </c>
      <c r="AE64" s="113">
        <f t="shared" si="48"/>
        <v>0</v>
      </c>
      <c r="AF64" s="113">
        <f t="shared" si="48"/>
        <v>0</v>
      </c>
      <c r="AG64" s="113">
        <f t="shared" si="48"/>
        <v>0</v>
      </c>
      <c r="AH64" s="113">
        <f t="shared" si="48"/>
        <v>0</v>
      </c>
      <c r="AI64" s="113">
        <f t="shared" si="48"/>
        <v>0</v>
      </c>
      <c r="AJ64" s="113">
        <f t="shared" si="48"/>
        <v>0</v>
      </c>
      <c r="AK64" s="113">
        <f t="shared" si="48"/>
        <v>0</v>
      </c>
      <c r="AL64" s="113">
        <f t="shared" si="48"/>
        <v>0</v>
      </c>
      <c r="AM64" s="113">
        <f t="shared" si="48"/>
        <v>0</v>
      </c>
      <c r="AN64" s="113">
        <f t="shared" si="48"/>
        <v>0</v>
      </c>
      <c r="AO64" s="113">
        <f t="shared" si="48"/>
        <v>0</v>
      </c>
      <c r="AP64" s="113">
        <f t="shared" si="48"/>
        <v>0</v>
      </c>
      <c r="AQ64" s="113">
        <f t="shared" si="48"/>
        <v>0</v>
      </c>
      <c r="AR64" s="113">
        <f t="shared" si="48"/>
        <v>0</v>
      </c>
      <c r="AS64" s="113">
        <f t="shared" si="48"/>
        <v>0</v>
      </c>
      <c r="AT64" s="113">
        <f t="shared" si="48"/>
        <v>0</v>
      </c>
      <c r="AU64" s="113">
        <f t="shared" si="48"/>
        <v>0</v>
      </c>
      <c r="AV64" s="113">
        <f t="shared" si="48"/>
        <v>0</v>
      </c>
      <c r="AW64" s="113">
        <f t="shared" si="48"/>
        <v>0</v>
      </c>
      <c r="AX64" s="113">
        <f t="shared" si="48"/>
        <v>0</v>
      </c>
      <c r="AY64" s="113">
        <f t="shared" si="48"/>
        <v>0</v>
      </c>
      <c r="AZ64" s="113">
        <f t="shared" si="48"/>
        <v>0</v>
      </c>
      <c r="BA64" s="113">
        <f t="shared" si="48"/>
        <v>0</v>
      </c>
      <c r="BB64" s="113">
        <f t="shared" si="48"/>
        <v>0</v>
      </c>
      <c r="BC64" s="113">
        <f t="shared" si="48"/>
        <v>0</v>
      </c>
      <c r="BD64" s="113">
        <f t="shared" ref="BD64" si="49">BD65+BD66+BD67+BD68+BD69+BD70+BD71+BD72+BD73</f>
        <v>0</v>
      </c>
      <c r="BE64" s="113">
        <f t="shared" ref="BE64" si="50">BE65+BE66+BE67+BE68+BE69+BE70+BE71+BE72+BE73</f>
        <v>0</v>
      </c>
      <c r="BF64" s="113">
        <f t="shared" ref="BF64" si="51">BF65+BF66+BF67+BF68+BF69+BF70+BF71+BF72+BF73</f>
        <v>0</v>
      </c>
      <c r="BG64" s="113">
        <f t="shared" ref="BG64" si="52">BG65+BG66+BG67+BG68+BG69+BG70+BG71+BG72+BG73</f>
        <v>0</v>
      </c>
    </row>
    <row r="65" spans="2:59" x14ac:dyDescent="0.2">
      <c r="C65" s="8">
        <v>570</v>
      </c>
      <c r="D65" s="8" t="s">
        <v>460</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f t="shared" ref="BD65:BD73" si="53">SUM(E65:BC65)</f>
        <v>0</v>
      </c>
      <c r="BE65" s="19">
        <f t="shared" ref="BE65:BE73" si="54">SUM(E65:W65)</f>
        <v>0</v>
      </c>
      <c r="BF65" s="19">
        <f t="shared" ref="BF65:BF73" si="55">SUM(X65:AI65)</f>
        <v>0</v>
      </c>
      <c r="BG65" s="19">
        <f t="shared" ref="BG65:BG73" si="56">SUM(AJ65:BC65)</f>
        <v>0</v>
      </c>
    </row>
    <row r="66" spans="2:59" x14ac:dyDescent="0.2">
      <c r="C66" s="8">
        <v>571</v>
      </c>
      <c r="D66" s="8" t="s">
        <v>461</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f t="shared" si="53"/>
        <v>0</v>
      </c>
      <c r="BE66" s="19">
        <f t="shared" si="54"/>
        <v>0</v>
      </c>
      <c r="BF66" s="19">
        <f t="shared" si="55"/>
        <v>0</v>
      </c>
      <c r="BG66" s="19">
        <f t="shared" si="56"/>
        <v>0</v>
      </c>
    </row>
    <row r="67" spans="2:59" x14ac:dyDescent="0.2">
      <c r="C67" s="8">
        <v>572</v>
      </c>
      <c r="D67" s="8" t="s">
        <v>462</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f t="shared" si="53"/>
        <v>0</v>
      </c>
      <c r="BE67" s="19">
        <f t="shared" si="54"/>
        <v>0</v>
      </c>
      <c r="BF67" s="19">
        <f t="shared" si="55"/>
        <v>0</v>
      </c>
      <c r="BG67" s="19">
        <f t="shared" si="56"/>
        <v>0</v>
      </c>
    </row>
    <row r="68" spans="2:59" x14ac:dyDescent="0.2">
      <c r="C68" s="8">
        <v>573</v>
      </c>
      <c r="D68" s="8" t="s">
        <v>463</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f t="shared" si="53"/>
        <v>0</v>
      </c>
      <c r="BE68" s="19">
        <f t="shared" si="54"/>
        <v>0</v>
      </c>
      <c r="BF68" s="19">
        <f t="shared" si="55"/>
        <v>0</v>
      </c>
      <c r="BG68" s="19">
        <f t="shared" si="56"/>
        <v>0</v>
      </c>
    </row>
    <row r="69" spans="2:59" x14ac:dyDescent="0.2">
      <c r="C69" s="8">
        <v>574</v>
      </c>
      <c r="D69" s="8" t="s">
        <v>464</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f t="shared" si="53"/>
        <v>0</v>
      </c>
      <c r="BE69" s="19">
        <f t="shared" si="54"/>
        <v>0</v>
      </c>
      <c r="BF69" s="19">
        <f t="shared" si="55"/>
        <v>0</v>
      </c>
      <c r="BG69" s="19">
        <f t="shared" si="56"/>
        <v>0</v>
      </c>
    </row>
    <row r="70" spans="2:59" x14ac:dyDescent="0.2">
      <c r="C70" s="8">
        <v>575</v>
      </c>
      <c r="D70" s="8" t="s">
        <v>465</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f t="shared" si="53"/>
        <v>0</v>
      </c>
      <c r="BE70" s="19">
        <f t="shared" si="54"/>
        <v>0</v>
      </c>
      <c r="BF70" s="19">
        <f t="shared" si="55"/>
        <v>0</v>
      </c>
      <c r="BG70" s="19">
        <f t="shared" si="56"/>
        <v>0</v>
      </c>
    </row>
    <row r="71" spans="2:59" x14ac:dyDescent="0.2">
      <c r="C71" s="8">
        <v>576</v>
      </c>
      <c r="D71" s="8" t="s">
        <v>466</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f t="shared" si="53"/>
        <v>0</v>
      </c>
      <c r="BE71" s="19">
        <f t="shared" si="54"/>
        <v>0</v>
      </c>
      <c r="BF71" s="19">
        <f t="shared" si="55"/>
        <v>0</v>
      </c>
      <c r="BG71" s="19">
        <f t="shared" si="56"/>
        <v>0</v>
      </c>
    </row>
    <row r="72" spans="2:59" x14ac:dyDescent="0.2">
      <c r="C72" s="8">
        <v>577</v>
      </c>
      <c r="D72" s="8" t="s">
        <v>467</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f t="shared" si="53"/>
        <v>0</v>
      </c>
      <c r="BE72" s="19">
        <f t="shared" si="54"/>
        <v>0</v>
      </c>
      <c r="BF72" s="19">
        <f t="shared" si="55"/>
        <v>0</v>
      </c>
      <c r="BG72" s="19">
        <f t="shared" si="56"/>
        <v>0</v>
      </c>
    </row>
    <row r="73" spans="2:59" x14ac:dyDescent="0.2">
      <c r="C73" s="8">
        <v>578</v>
      </c>
      <c r="D73" s="8" t="s">
        <v>468</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f t="shared" si="53"/>
        <v>0</v>
      </c>
      <c r="BE73" s="19">
        <f t="shared" si="54"/>
        <v>0</v>
      </c>
      <c r="BF73" s="19">
        <f t="shared" si="55"/>
        <v>0</v>
      </c>
      <c r="BG73" s="19">
        <f t="shared" si="56"/>
        <v>0</v>
      </c>
    </row>
    <row r="74" spans="2:59"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row>
    <row r="75" spans="2:59" ht="15" x14ac:dyDescent="0.25">
      <c r="B75" s="85">
        <v>58</v>
      </c>
      <c r="C75" s="85"/>
      <c r="D75" s="85" t="s">
        <v>471</v>
      </c>
      <c r="E75" s="113">
        <f>E76+E77+E78+E79+E80+E81</f>
        <v>0</v>
      </c>
      <c r="F75" s="113">
        <f t="shared" ref="F75:BC75" si="57">F76+F77+F78+F79+F80+F81</f>
        <v>0</v>
      </c>
      <c r="G75" s="113">
        <f t="shared" si="57"/>
        <v>0</v>
      </c>
      <c r="H75" s="113">
        <f t="shared" si="57"/>
        <v>0</v>
      </c>
      <c r="I75" s="113">
        <f t="shared" si="57"/>
        <v>0</v>
      </c>
      <c r="J75" s="113">
        <f t="shared" si="57"/>
        <v>0</v>
      </c>
      <c r="K75" s="113">
        <f t="shared" si="57"/>
        <v>0</v>
      </c>
      <c r="L75" s="113">
        <f t="shared" si="57"/>
        <v>0</v>
      </c>
      <c r="M75" s="113">
        <f t="shared" si="57"/>
        <v>0</v>
      </c>
      <c r="N75" s="113">
        <f t="shared" si="57"/>
        <v>0</v>
      </c>
      <c r="O75" s="113">
        <f t="shared" si="57"/>
        <v>0</v>
      </c>
      <c r="P75" s="113">
        <f t="shared" si="57"/>
        <v>0</v>
      </c>
      <c r="Q75" s="113">
        <f t="shared" si="57"/>
        <v>0</v>
      </c>
      <c r="R75" s="113">
        <f t="shared" si="57"/>
        <v>0</v>
      </c>
      <c r="S75" s="113">
        <f t="shared" si="57"/>
        <v>0</v>
      </c>
      <c r="T75" s="113">
        <f t="shared" si="57"/>
        <v>0</v>
      </c>
      <c r="U75" s="113">
        <f t="shared" si="57"/>
        <v>0</v>
      </c>
      <c r="V75" s="113">
        <f t="shared" si="57"/>
        <v>0</v>
      </c>
      <c r="W75" s="113">
        <f t="shared" si="57"/>
        <v>0</v>
      </c>
      <c r="X75" s="113">
        <f t="shared" si="57"/>
        <v>0</v>
      </c>
      <c r="Y75" s="113">
        <f t="shared" si="57"/>
        <v>0</v>
      </c>
      <c r="Z75" s="113">
        <f t="shared" si="57"/>
        <v>0</v>
      </c>
      <c r="AA75" s="113">
        <f t="shared" si="57"/>
        <v>0</v>
      </c>
      <c r="AB75" s="113">
        <f t="shared" si="57"/>
        <v>0</v>
      </c>
      <c r="AC75" s="113">
        <f t="shared" si="57"/>
        <v>33292.519999999997</v>
      </c>
      <c r="AD75" s="113">
        <f t="shared" si="57"/>
        <v>0</v>
      </c>
      <c r="AE75" s="113">
        <f t="shared" si="57"/>
        <v>0</v>
      </c>
      <c r="AF75" s="113">
        <f t="shared" si="57"/>
        <v>0</v>
      </c>
      <c r="AG75" s="113">
        <f t="shared" si="57"/>
        <v>0</v>
      </c>
      <c r="AH75" s="113">
        <f t="shared" si="57"/>
        <v>0</v>
      </c>
      <c r="AI75" s="113">
        <f t="shared" si="57"/>
        <v>0</v>
      </c>
      <c r="AJ75" s="113">
        <f t="shared" si="57"/>
        <v>0</v>
      </c>
      <c r="AK75" s="113">
        <f t="shared" si="57"/>
        <v>0</v>
      </c>
      <c r="AL75" s="113">
        <f t="shared" si="57"/>
        <v>0</v>
      </c>
      <c r="AM75" s="113">
        <f t="shared" si="57"/>
        <v>0</v>
      </c>
      <c r="AN75" s="113">
        <f t="shared" si="57"/>
        <v>0</v>
      </c>
      <c r="AO75" s="113">
        <f t="shared" si="57"/>
        <v>0</v>
      </c>
      <c r="AP75" s="113">
        <f t="shared" si="57"/>
        <v>0</v>
      </c>
      <c r="AQ75" s="113">
        <f t="shared" si="57"/>
        <v>0</v>
      </c>
      <c r="AR75" s="113">
        <f t="shared" si="57"/>
        <v>0</v>
      </c>
      <c r="AS75" s="113">
        <f t="shared" si="57"/>
        <v>9880.85</v>
      </c>
      <c r="AT75" s="113">
        <f t="shared" si="57"/>
        <v>0</v>
      </c>
      <c r="AU75" s="113">
        <f t="shared" si="57"/>
        <v>0</v>
      </c>
      <c r="AV75" s="113">
        <f t="shared" si="57"/>
        <v>0</v>
      </c>
      <c r="AW75" s="113">
        <f t="shared" si="57"/>
        <v>0</v>
      </c>
      <c r="AX75" s="113">
        <f t="shared" si="57"/>
        <v>0</v>
      </c>
      <c r="AY75" s="113">
        <f t="shared" si="57"/>
        <v>0</v>
      </c>
      <c r="AZ75" s="113">
        <f t="shared" si="57"/>
        <v>0</v>
      </c>
      <c r="BA75" s="113">
        <f t="shared" si="57"/>
        <v>0</v>
      </c>
      <c r="BB75" s="113">
        <f t="shared" si="57"/>
        <v>0</v>
      </c>
      <c r="BC75" s="113">
        <f t="shared" si="57"/>
        <v>0</v>
      </c>
      <c r="BD75" s="113">
        <f t="shared" ref="BD75" si="58">BD76+BD77+BD78+BD79+BD80+BD81</f>
        <v>43173.369999999995</v>
      </c>
      <c r="BE75" s="113">
        <f t="shared" ref="BE75" si="59">BE76+BE77+BE78+BE79+BE80+BE81</f>
        <v>0</v>
      </c>
      <c r="BF75" s="113">
        <f t="shared" ref="BF75" si="60">BF76+BF77+BF78+BF79+BF80+BF81</f>
        <v>33292.519999999997</v>
      </c>
      <c r="BG75" s="113">
        <f t="shared" ref="BG75" si="61">BG76+BG77+BG78+BG79+BG80+BG81</f>
        <v>9880.85</v>
      </c>
    </row>
    <row r="76" spans="2:59" x14ac:dyDescent="0.2">
      <c r="C76" s="8">
        <v>580</v>
      </c>
      <c r="D76" s="8" t="s">
        <v>448</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33292.519999999997</v>
      </c>
      <c r="AD76" s="19">
        <v>0</v>
      </c>
      <c r="AE76" s="19">
        <v>0</v>
      </c>
      <c r="AF76" s="19">
        <v>0</v>
      </c>
      <c r="AG76" s="19">
        <v>0</v>
      </c>
      <c r="AH76" s="19">
        <v>0</v>
      </c>
      <c r="AI76" s="19">
        <v>0</v>
      </c>
      <c r="AJ76" s="19">
        <v>0</v>
      </c>
      <c r="AK76" s="19">
        <v>0</v>
      </c>
      <c r="AL76" s="19">
        <v>0</v>
      </c>
      <c r="AM76" s="19">
        <v>0</v>
      </c>
      <c r="AN76" s="19">
        <v>0</v>
      </c>
      <c r="AO76" s="19">
        <v>0</v>
      </c>
      <c r="AP76" s="19">
        <v>0</v>
      </c>
      <c r="AQ76" s="19">
        <v>0</v>
      </c>
      <c r="AR76" s="19">
        <v>0</v>
      </c>
      <c r="AS76" s="19">
        <v>0</v>
      </c>
      <c r="AT76" s="19">
        <v>0</v>
      </c>
      <c r="AU76" s="19">
        <v>0</v>
      </c>
      <c r="AV76" s="19">
        <v>0</v>
      </c>
      <c r="AW76" s="19">
        <v>0</v>
      </c>
      <c r="AX76" s="19">
        <v>0</v>
      </c>
      <c r="AY76" s="19">
        <v>0</v>
      </c>
      <c r="AZ76" s="19">
        <v>0</v>
      </c>
      <c r="BA76" s="19">
        <v>0</v>
      </c>
      <c r="BB76" s="19">
        <v>0</v>
      </c>
      <c r="BC76" s="19">
        <v>0</v>
      </c>
      <c r="BD76" s="19">
        <f t="shared" ref="BD76:BD81" si="62">SUM(E76:BC76)</f>
        <v>33292.519999999997</v>
      </c>
      <c r="BE76" s="19">
        <f t="shared" ref="BE76:BE81" si="63">SUM(E76:W76)</f>
        <v>0</v>
      </c>
      <c r="BF76" s="19">
        <f t="shared" ref="BF76:BF81" si="64">SUM(X76:AI76)</f>
        <v>33292.519999999997</v>
      </c>
      <c r="BG76" s="19">
        <f t="shared" ref="BG76:BG81" si="65">SUM(AJ76:BC76)</f>
        <v>0</v>
      </c>
    </row>
    <row r="77" spans="2:59" x14ac:dyDescent="0.2">
      <c r="C77" s="8">
        <v>582</v>
      </c>
      <c r="D77" s="8" t="s">
        <v>458</v>
      </c>
      <c r="E77" s="19">
        <v>0</v>
      </c>
      <c r="F77" s="19">
        <v>0</v>
      </c>
      <c r="G77" s="19">
        <v>0</v>
      </c>
      <c r="H77" s="19">
        <v>0</v>
      </c>
      <c r="I77" s="19">
        <v>0</v>
      </c>
      <c r="J77" s="19">
        <v>0</v>
      </c>
      <c r="K77" s="19">
        <v>0</v>
      </c>
      <c r="L77" s="19">
        <v>0</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9880.85</v>
      </c>
      <c r="AT77" s="19">
        <v>0</v>
      </c>
      <c r="AU77" s="19">
        <v>0</v>
      </c>
      <c r="AV77" s="19">
        <v>0</v>
      </c>
      <c r="AW77" s="19">
        <v>0</v>
      </c>
      <c r="AX77" s="19">
        <v>0</v>
      </c>
      <c r="AY77" s="19">
        <v>0</v>
      </c>
      <c r="AZ77" s="19">
        <v>0</v>
      </c>
      <c r="BA77" s="19">
        <v>0</v>
      </c>
      <c r="BB77" s="19">
        <v>0</v>
      </c>
      <c r="BC77" s="19">
        <v>0</v>
      </c>
      <c r="BD77" s="19">
        <f t="shared" si="62"/>
        <v>9880.85</v>
      </c>
      <c r="BE77" s="19">
        <f t="shared" si="63"/>
        <v>0</v>
      </c>
      <c r="BF77" s="19">
        <f t="shared" si="64"/>
        <v>0</v>
      </c>
      <c r="BG77" s="19">
        <f t="shared" si="65"/>
        <v>9880.85</v>
      </c>
    </row>
    <row r="78" spans="2:59" x14ac:dyDescent="0.2">
      <c r="C78" s="8">
        <v>584</v>
      </c>
      <c r="D78" s="8" t="s">
        <v>246</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f t="shared" si="62"/>
        <v>0</v>
      </c>
      <c r="BE78" s="19">
        <f t="shared" si="63"/>
        <v>0</v>
      </c>
      <c r="BF78" s="19">
        <f t="shared" si="64"/>
        <v>0</v>
      </c>
      <c r="BG78" s="19">
        <f t="shared" si="65"/>
        <v>0</v>
      </c>
    </row>
    <row r="79" spans="2:59" x14ac:dyDescent="0.2">
      <c r="C79" s="8">
        <v>585</v>
      </c>
      <c r="D79" s="8" t="s">
        <v>373</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f t="shared" si="62"/>
        <v>0</v>
      </c>
      <c r="BE79" s="19">
        <f t="shared" si="63"/>
        <v>0</v>
      </c>
      <c r="BF79" s="19">
        <f t="shared" si="64"/>
        <v>0</v>
      </c>
      <c r="BG79" s="19">
        <f t="shared" si="65"/>
        <v>0</v>
      </c>
    </row>
    <row r="80" spans="2:59" x14ac:dyDescent="0.2">
      <c r="C80" s="8">
        <v>586</v>
      </c>
      <c r="D80" s="8" t="s">
        <v>472</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f t="shared" si="62"/>
        <v>0</v>
      </c>
      <c r="BE80" s="19">
        <f t="shared" si="63"/>
        <v>0</v>
      </c>
      <c r="BF80" s="19">
        <f t="shared" si="64"/>
        <v>0</v>
      </c>
      <c r="BG80" s="19">
        <f t="shared" si="65"/>
        <v>0</v>
      </c>
    </row>
    <row r="81" spans="1:59" x14ac:dyDescent="0.2">
      <c r="C81" s="8">
        <v>589</v>
      </c>
      <c r="D81" s="8" t="s">
        <v>473</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f t="shared" si="62"/>
        <v>0</v>
      </c>
      <c r="BE81" s="19">
        <f t="shared" si="63"/>
        <v>0</v>
      </c>
      <c r="BF81" s="19">
        <f t="shared" si="64"/>
        <v>0</v>
      </c>
      <c r="BG81" s="19">
        <f t="shared" si="65"/>
        <v>0</v>
      </c>
    </row>
    <row r="82" spans="1:59"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row>
    <row r="83" spans="1:59" ht="15" x14ac:dyDescent="0.25">
      <c r="B83" s="85">
        <v>59</v>
      </c>
      <c r="C83" s="85"/>
      <c r="D83" s="85" t="s">
        <v>474</v>
      </c>
      <c r="E83" s="113">
        <f>E84</f>
        <v>263140.82</v>
      </c>
      <c r="F83" s="113">
        <f t="shared" ref="F83:BC83" si="66">F84</f>
        <v>0</v>
      </c>
      <c r="G83" s="113">
        <f t="shared" si="66"/>
        <v>0</v>
      </c>
      <c r="H83" s="113">
        <f t="shared" si="66"/>
        <v>0</v>
      </c>
      <c r="I83" s="113">
        <f t="shared" si="66"/>
        <v>272149.2</v>
      </c>
      <c r="J83" s="113">
        <f t="shared" si="66"/>
        <v>327152.95</v>
      </c>
      <c r="K83" s="113">
        <f t="shared" si="66"/>
        <v>41782.75</v>
      </c>
      <c r="L83" s="113">
        <f t="shared" si="66"/>
        <v>3529629.3</v>
      </c>
      <c r="M83" s="113">
        <f t="shared" si="66"/>
        <v>1574994.15</v>
      </c>
      <c r="N83" s="113">
        <f t="shared" si="66"/>
        <v>0</v>
      </c>
      <c r="O83" s="113">
        <f t="shared" si="66"/>
        <v>2540527.9500000002</v>
      </c>
      <c r="P83" s="113">
        <f t="shared" si="66"/>
        <v>0</v>
      </c>
      <c r="Q83" s="113">
        <f t="shared" si="66"/>
        <v>0</v>
      </c>
      <c r="R83" s="113">
        <f t="shared" si="66"/>
        <v>126000</v>
      </c>
      <c r="S83" s="113">
        <f t="shared" si="66"/>
        <v>0</v>
      </c>
      <c r="T83" s="113">
        <f t="shared" si="66"/>
        <v>6401</v>
      </c>
      <c r="U83" s="113">
        <f t="shared" si="66"/>
        <v>0</v>
      </c>
      <c r="V83" s="113">
        <f t="shared" si="66"/>
        <v>0</v>
      </c>
      <c r="W83" s="113">
        <f t="shared" si="66"/>
        <v>809066.57</v>
      </c>
      <c r="X83" s="113">
        <f t="shared" si="66"/>
        <v>0</v>
      </c>
      <c r="Y83" s="113">
        <f t="shared" si="66"/>
        <v>73509.55</v>
      </c>
      <c r="Z83" s="113">
        <f t="shared" si="66"/>
        <v>0</v>
      </c>
      <c r="AA83" s="113">
        <f t="shared" si="66"/>
        <v>267055</v>
      </c>
      <c r="AB83" s="113">
        <f t="shared" si="66"/>
        <v>20170</v>
      </c>
      <c r="AC83" s="113">
        <f t="shared" si="66"/>
        <v>584800</v>
      </c>
      <c r="AD83" s="113">
        <f t="shared" si="66"/>
        <v>5000</v>
      </c>
      <c r="AE83" s="113">
        <f t="shared" si="66"/>
        <v>131430</v>
      </c>
      <c r="AF83" s="113">
        <f t="shared" si="66"/>
        <v>81803.899999999994</v>
      </c>
      <c r="AG83" s="113">
        <f t="shared" si="66"/>
        <v>211455.25</v>
      </c>
      <c r="AH83" s="113">
        <f t="shared" si="66"/>
        <v>20790</v>
      </c>
      <c r="AI83" s="113">
        <f t="shared" si="66"/>
        <v>575000</v>
      </c>
      <c r="AJ83" s="113">
        <f t="shared" si="66"/>
        <v>31000</v>
      </c>
      <c r="AK83" s="113">
        <f t="shared" si="66"/>
        <v>74000</v>
      </c>
      <c r="AL83" s="113">
        <f t="shared" si="66"/>
        <v>217825.5</v>
      </c>
      <c r="AM83" s="113">
        <f t="shared" si="66"/>
        <v>0</v>
      </c>
      <c r="AN83" s="113">
        <f t="shared" si="66"/>
        <v>110999.1</v>
      </c>
      <c r="AO83" s="113">
        <f t="shared" si="66"/>
        <v>160035.9</v>
      </c>
      <c r="AP83" s="113">
        <f t="shared" si="66"/>
        <v>516925.65</v>
      </c>
      <c r="AQ83" s="113">
        <f t="shared" si="66"/>
        <v>1202736.05</v>
      </c>
      <c r="AR83" s="113">
        <f t="shared" si="66"/>
        <v>5049.7</v>
      </c>
      <c r="AS83" s="113">
        <f t="shared" si="66"/>
        <v>-7612.9</v>
      </c>
      <c r="AT83" s="113">
        <f t="shared" si="66"/>
        <v>0</v>
      </c>
      <c r="AU83" s="113">
        <f t="shared" si="66"/>
        <v>164207</v>
      </c>
      <c r="AV83" s="113">
        <f t="shared" si="66"/>
        <v>9405.86</v>
      </c>
      <c r="AW83" s="113">
        <f t="shared" si="66"/>
        <v>20000</v>
      </c>
      <c r="AX83" s="113">
        <f t="shared" si="66"/>
        <v>0</v>
      </c>
      <c r="AY83" s="113">
        <f t="shared" si="66"/>
        <v>7567</v>
      </c>
      <c r="AZ83" s="113">
        <f t="shared" si="66"/>
        <v>125913.85</v>
      </c>
      <c r="BA83" s="113">
        <f t="shared" si="66"/>
        <v>81405.850000000006</v>
      </c>
      <c r="BB83" s="113">
        <f t="shared" si="66"/>
        <v>1112280.06</v>
      </c>
      <c r="BC83" s="113">
        <f t="shared" si="66"/>
        <v>1000</v>
      </c>
      <c r="BD83" s="113">
        <f t="shared" ref="BD83" si="67">BD84</f>
        <v>15294597.010000002</v>
      </c>
      <c r="BE83" s="113">
        <f t="shared" ref="BE83" si="68">BE84</f>
        <v>9490844.6900000013</v>
      </c>
      <c r="BF83" s="113">
        <f t="shared" ref="BF83" si="69">BF84</f>
        <v>1971013.7</v>
      </c>
      <c r="BG83" s="113">
        <f t="shared" ref="BG83" si="70">BG84</f>
        <v>3832738.6200000006</v>
      </c>
    </row>
    <row r="84" spans="1:59" x14ac:dyDescent="0.2">
      <c r="C84" s="8">
        <v>590</v>
      </c>
      <c r="D84" s="8" t="s">
        <v>474</v>
      </c>
      <c r="E84" s="19">
        <v>263140.82</v>
      </c>
      <c r="F84" s="19">
        <v>0</v>
      </c>
      <c r="G84" s="19">
        <v>0</v>
      </c>
      <c r="H84" s="19">
        <v>0</v>
      </c>
      <c r="I84" s="19">
        <v>272149.2</v>
      </c>
      <c r="J84" s="19">
        <v>327152.95</v>
      </c>
      <c r="K84" s="19">
        <v>41782.75</v>
      </c>
      <c r="L84" s="19">
        <v>3529629.3</v>
      </c>
      <c r="M84" s="19">
        <v>1574994.15</v>
      </c>
      <c r="N84" s="19">
        <v>0</v>
      </c>
      <c r="O84" s="19">
        <v>2540527.9500000002</v>
      </c>
      <c r="P84" s="19">
        <v>0</v>
      </c>
      <c r="Q84" s="19">
        <v>0</v>
      </c>
      <c r="R84" s="19">
        <v>126000</v>
      </c>
      <c r="S84" s="19">
        <v>0</v>
      </c>
      <c r="T84" s="19">
        <v>6401</v>
      </c>
      <c r="U84" s="19">
        <v>0</v>
      </c>
      <c r="V84" s="19">
        <v>0</v>
      </c>
      <c r="W84" s="19">
        <v>809066.57</v>
      </c>
      <c r="X84" s="19">
        <v>0</v>
      </c>
      <c r="Y84" s="19">
        <v>73509.55</v>
      </c>
      <c r="Z84" s="19">
        <v>0</v>
      </c>
      <c r="AA84" s="19">
        <v>267055</v>
      </c>
      <c r="AB84" s="19">
        <v>20170</v>
      </c>
      <c r="AC84" s="19">
        <v>584800</v>
      </c>
      <c r="AD84" s="19">
        <v>5000</v>
      </c>
      <c r="AE84" s="19">
        <v>131430</v>
      </c>
      <c r="AF84" s="19">
        <v>81803.899999999994</v>
      </c>
      <c r="AG84" s="19">
        <v>211455.25</v>
      </c>
      <c r="AH84" s="19">
        <v>20790</v>
      </c>
      <c r="AI84" s="19">
        <v>575000</v>
      </c>
      <c r="AJ84" s="19">
        <v>31000</v>
      </c>
      <c r="AK84" s="19">
        <v>74000</v>
      </c>
      <c r="AL84" s="19">
        <v>217825.5</v>
      </c>
      <c r="AM84" s="19">
        <v>0</v>
      </c>
      <c r="AN84" s="19">
        <v>110999.1</v>
      </c>
      <c r="AO84" s="19">
        <v>160035.9</v>
      </c>
      <c r="AP84" s="19">
        <v>516925.65</v>
      </c>
      <c r="AQ84" s="19">
        <v>1202736.05</v>
      </c>
      <c r="AR84" s="19">
        <v>5049.7</v>
      </c>
      <c r="AS84" s="19">
        <v>-7612.9</v>
      </c>
      <c r="AT84" s="19">
        <v>0</v>
      </c>
      <c r="AU84" s="19">
        <v>164207</v>
      </c>
      <c r="AV84" s="19">
        <v>9405.86</v>
      </c>
      <c r="AW84" s="19">
        <v>20000</v>
      </c>
      <c r="AX84" s="19">
        <v>0</v>
      </c>
      <c r="AY84" s="19">
        <v>7567</v>
      </c>
      <c r="AZ84" s="19">
        <v>125913.85</v>
      </c>
      <c r="BA84" s="19">
        <v>81405.850000000006</v>
      </c>
      <c r="BB84" s="19">
        <v>1112280.06</v>
      </c>
      <c r="BC84" s="19">
        <v>1000</v>
      </c>
      <c r="BD84" s="19">
        <f>SUM(E84:BC84)</f>
        <v>15294597.010000002</v>
      </c>
      <c r="BE84" s="19">
        <f>SUM(E84:W84)</f>
        <v>9490844.6900000013</v>
      </c>
      <c r="BF84" s="19">
        <f>SUM(X84:AI84)</f>
        <v>1971013.7</v>
      </c>
      <c r="BG84" s="19">
        <f>SUM(AJ84:BC84)</f>
        <v>3832738.6200000006</v>
      </c>
    </row>
    <row r="85" spans="1:59"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row>
    <row r="86" spans="1:59"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row>
    <row r="87" spans="1:59"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row>
    <row r="88" spans="1:59" ht="20.25" x14ac:dyDescent="0.3">
      <c r="A88" s="142">
        <v>6</v>
      </c>
      <c r="B88" s="142"/>
      <c r="C88" s="142"/>
      <c r="D88" s="142" t="s">
        <v>475</v>
      </c>
      <c r="E88" s="199">
        <f>E89+E99+E109+E114+E125+E136+E147+E158+E169</f>
        <v>263140.82</v>
      </c>
      <c r="F88" s="199">
        <f t="shared" ref="F88:BG88" si="71">F89+F99+F109+F114+F125+F136+F147+F158+F169</f>
        <v>0</v>
      </c>
      <c r="G88" s="199">
        <f t="shared" si="71"/>
        <v>0</v>
      </c>
      <c r="H88" s="199">
        <f t="shared" si="71"/>
        <v>0</v>
      </c>
      <c r="I88" s="199">
        <f t="shared" si="71"/>
        <v>272149.2</v>
      </c>
      <c r="J88" s="199">
        <f t="shared" si="71"/>
        <v>327152.94999999995</v>
      </c>
      <c r="K88" s="199">
        <f t="shared" si="71"/>
        <v>41782.75</v>
      </c>
      <c r="L88" s="199">
        <f t="shared" si="71"/>
        <v>3529629.3000000003</v>
      </c>
      <c r="M88" s="199">
        <f t="shared" si="71"/>
        <v>1574994.15</v>
      </c>
      <c r="N88" s="199">
        <f t="shared" si="71"/>
        <v>0</v>
      </c>
      <c r="O88" s="199">
        <f t="shared" si="71"/>
        <v>2540527.9500000002</v>
      </c>
      <c r="P88" s="199">
        <f t="shared" si="71"/>
        <v>0</v>
      </c>
      <c r="Q88" s="199">
        <f t="shared" si="71"/>
        <v>0</v>
      </c>
      <c r="R88" s="199">
        <f t="shared" si="71"/>
        <v>126000</v>
      </c>
      <c r="S88" s="199">
        <f t="shared" si="71"/>
        <v>0</v>
      </c>
      <c r="T88" s="199">
        <f t="shared" si="71"/>
        <v>6401</v>
      </c>
      <c r="U88" s="199">
        <f t="shared" si="71"/>
        <v>0</v>
      </c>
      <c r="V88" s="199">
        <f t="shared" si="71"/>
        <v>0</v>
      </c>
      <c r="W88" s="199">
        <f t="shared" si="71"/>
        <v>809066.56999999983</v>
      </c>
      <c r="X88" s="199">
        <f t="shared" si="71"/>
        <v>0</v>
      </c>
      <c r="Y88" s="199">
        <f t="shared" si="71"/>
        <v>73509.55</v>
      </c>
      <c r="Z88" s="199">
        <f t="shared" si="71"/>
        <v>0</v>
      </c>
      <c r="AA88" s="199">
        <f t="shared" si="71"/>
        <v>267055</v>
      </c>
      <c r="AB88" s="199">
        <f t="shared" si="71"/>
        <v>20170</v>
      </c>
      <c r="AC88" s="199">
        <f t="shared" si="71"/>
        <v>584800</v>
      </c>
      <c r="AD88" s="199">
        <f t="shared" si="71"/>
        <v>5000</v>
      </c>
      <c r="AE88" s="199">
        <f t="shared" si="71"/>
        <v>131430</v>
      </c>
      <c r="AF88" s="199">
        <f t="shared" si="71"/>
        <v>81803.899999999994</v>
      </c>
      <c r="AG88" s="199">
        <f t="shared" si="71"/>
        <v>211455.25</v>
      </c>
      <c r="AH88" s="199">
        <f t="shared" si="71"/>
        <v>20790</v>
      </c>
      <c r="AI88" s="199">
        <f t="shared" si="71"/>
        <v>575000</v>
      </c>
      <c r="AJ88" s="199">
        <f t="shared" si="71"/>
        <v>31000</v>
      </c>
      <c r="AK88" s="199">
        <f t="shared" si="71"/>
        <v>74000</v>
      </c>
      <c r="AL88" s="199">
        <f t="shared" si="71"/>
        <v>217825.5</v>
      </c>
      <c r="AM88" s="199">
        <f t="shared" si="71"/>
        <v>0</v>
      </c>
      <c r="AN88" s="199">
        <f t="shared" si="71"/>
        <v>110999.1</v>
      </c>
      <c r="AO88" s="199">
        <f t="shared" si="71"/>
        <v>160035.9</v>
      </c>
      <c r="AP88" s="199">
        <f t="shared" si="71"/>
        <v>516925.65</v>
      </c>
      <c r="AQ88" s="199">
        <f t="shared" si="71"/>
        <v>1202736.0499999998</v>
      </c>
      <c r="AR88" s="199">
        <f t="shared" si="71"/>
        <v>5049.7</v>
      </c>
      <c r="AS88" s="199">
        <f t="shared" si="71"/>
        <v>7612.9</v>
      </c>
      <c r="AT88" s="199">
        <f t="shared" si="71"/>
        <v>0</v>
      </c>
      <c r="AU88" s="199">
        <f t="shared" si="71"/>
        <v>164207</v>
      </c>
      <c r="AV88" s="199">
        <f t="shared" si="71"/>
        <v>9405.86</v>
      </c>
      <c r="AW88" s="199">
        <f t="shared" si="71"/>
        <v>20000</v>
      </c>
      <c r="AX88" s="199">
        <f t="shared" si="71"/>
        <v>0</v>
      </c>
      <c r="AY88" s="199">
        <f t="shared" si="71"/>
        <v>7567</v>
      </c>
      <c r="AZ88" s="199">
        <f t="shared" si="71"/>
        <v>125913.85</v>
      </c>
      <c r="BA88" s="199">
        <f t="shared" si="71"/>
        <v>81405.850000000006</v>
      </c>
      <c r="BB88" s="199">
        <f t="shared" si="71"/>
        <v>1112280.06</v>
      </c>
      <c r="BC88" s="199">
        <f t="shared" si="71"/>
        <v>1000</v>
      </c>
      <c r="BD88" s="199">
        <f t="shared" si="71"/>
        <v>15309822.810000001</v>
      </c>
      <c r="BE88" s="199">
        <f t="shared" si="71"/>
        <v>9490844.6900000013</v>
      </c>
      <c r="BF88" s="199">
        <f t="shared" si="71"/>
        <v>1971013.7</v>
      </c>
      <c r="BG88" s="199">
        <f t="shared" si="71"/>
        <v>3847964.42</v>
      </c>
    </row>
    <row r="89" spans="1:59" ht="15" x14ac:dyDescent="0.25">
      <c r="A89" s="7"/>
      <c r="B89" s="143">
        <v>60</v>
      </c>
      <c r="C89" s="143"/>
      <c r="D89" s="143" t="s">
        <v>476</v>
      </c>
      <c r="E89" s="200">
        <f>E90+E91+E92+E93+E94+E95+E96+E97</f>
        <v>96.9</v>
      </c>
      <c r="F89" s="200">
        <f t="shared" ref="F89:BG89" si="72">F90+F91+F92+F93+F94+F95+F96+F97</f>
        <v>0</v>
      </c>
      <c r="G89" s="200">
        <f t="shared" si="72"/>
        <v>0</v>
      </c>
      <c r="H89" s="200">
        <f t="shared" si="72"/>
        <v>0</v>
      </c>
      <c r="I89" s="200">
        <f t="shared" si="72"/>
        <v>0</v>
      </c>
      <c r="J89" s="200">
        <f t="shared" si="72"/>
        <v>0</v>
      </c>
      <c r="K89" s="200">
        <f t="shared" si="72"/>
        <v>0</v>
      </c>
      <c r="L89" s="200">
        <f t="shared" si="72"/>
        <v>0</v>
      </c>
      <c r="M89" s="200">
        <f t="shared" si="72"/>
        <v>0</v>
      </c>
      <c r="N89" s="200">
        <f t="shared" si="72"/>
        <v>0</v>
      </c>
      <c r="O89" s="200">
        <f t="shared" si="72"/>
        <v>75000</v>
      </c>
      <c r="P89" s="200">
        <f t="shared" si="72"/>
        <v>0</v>
      </c>
      <c r="Q89" s="200">
        <f t="shared" si="72"/>
        <v>0</v>
      </c>
      <c r="R89" s="200">
        <f t="shared" si="72"/>
        <v>126000</v>
      </c>
      <c r="S89" s="200">
        <f t="shared" si="72"/>
        <v>0</v>
      </c>
      <c r="T89" s="200">
        <f t="shared" si="72"/>
        <v>2000</v>
      </c>
      <c r="U89" s="200">
        <f t="shared" si="72"/>
        <v>0</v>
      </c>
      <c r="V89" s="200">
        <f t="shared" si="72"/>
        <v>0</v>
      </c>
      <c r="W89" s="200">
        <f t="shared" si="72"/>
        <v>0</v>
      </c>
      <c r="X89" s="200">
        <f t="shared" si="72"/>
        <v>0</v>
      </c>
      <c r="Y89" s="200">
        <f t="shared" si="72"/>
        <v>0</v>
      </c>
      <c r="Z89" s="200">
        <f t="shared" si="72"/>
        <v>0</v>
      </c>
      <c r="AA89" s="200">
        <f t="shared" si="72"/>
        <v>0</v>
      </c>
      <c r="AB89" s="200">
        <f t="shared" si="72"/>
        <v>0</v>
      </c>
      <c r="AC89" s="200">
        <f t="shared" si="72"/>
        <v>374800</v>
      </c>
      <c r="AD89" s="200">
        <f t="shared" si="72"/>
        <v>0</v>
      </c>
      <c r="AE89" s="200">
        <f t="shared" si="72"/>
        <v>0</v>
      </c>
      <c r="AF89" s="200">
        <f t="shared" si="72"/>
        <v>0</v>
      </c>
      <c r="AG89" s="200">
        <f t="shared" si="72"/>
        <v>0</v>
      </c>
      <c r="AH89" s="200">
        <f t="shared" si="72"/>
        <v>90</v>
      </c>
      <c r="AI89" s="200">
        <f t="shared" si="72"/>
        <v>0</v>
      </c>
      <c r="AJ89" s="200">
        <f t="shared" si="72"/>
        <v>0</v>
      </c>
      <c r="AK89" s="200">
        <f t="shared" si="72"/>
        <v>74000</v>
      </c>
      <c r="AL89" s="200">
        <f t="shared" si="72"/>
        <v>0</v>
      </c>
      <c r="AM89" s="200">
        <f t="shared" si="72"/>
        <v>0</v>
      </c>
      <c r="AN89" s="200">
        <f t="shared" si="72"/>
        <v>0</v>
      </c>
      <c r="AO89" s="200">
        <f t="shared" si="72"/>
        <v>0</v>
      </c>
      <c r="AP89" s="200">
        <f t="shared" si="72"/>
        <v>0</v>
      </c>
      <c r="AQ89" s="200">
        <f t="shared" si="72"/>
        <v>0</v>
      </c>
      <c r="AR89" s="200">
        <f t="shared" si="72"/>
        <v>0</v>
      </c>
      <c r="AS89" s="200">
        <f t="shared" si="72"/>
        <v>7612.9</v>
      </c>
      <c r="AT89" s="200">
        <f t="shared" si="72"/>
        <v>0</v>
      </c>
      <c r="AU89" s="200">
        <f t="shared" si="72"/>
        <v>0</v>
      </c>
      <c r="AV89" s="200">
        <f t="shared" si="72"/>
        <v>0</v>
      </c>
      <c r="AW89" s="200">
        <f t="shared" si="72"/>
        <v>0</v>
      </c>
      <c r="AX89" s="200">
        <f t="shared" si="72"/>
        <v>0</v>
      </c>
      <c r="AY89" s="200">
        <f t="shared" si="72"/>
        <v>0</v>
      </c>
      <c r="AZ89" s="200">
        <f t="shared" si="72"/>
        <v>0</v>
      </c>
      <c r="BA89" s="200">
        <f t="shared" si="72"/>
        <v>0</v>
      </c>
      <c r="BB89" s="200">
        <f t="shared" si="72"/>
        <v>51840</v>
      </c>
      <c r="BC89" s="200">
        <f t="shared" si="72"/>
        <v>0</v>
      </c>
      <c r="BD89" s="200">
        <f t="shared" si="72"/>
        <v>711439.8</v>
      </c>
      <c r="BE89" s="200">
        <f t="shared" si="72"/>
        <v>203096.9</v>
      </c>
      <c r="BF89" s="200">
        <f t="shared" si="72"/>
        <v>374890</v>
      </c>
      <c r="BG89" s="200">
        <f t="shared" si="72"/>
        <v>133452.9</v>
      </c>
    </row>
    <row r="90" spans="1:59" x14ac:dyDescent="0.2">
      <c r="C90" s="8">
        <v>600</v>
      </c>
      <c r="D90" s="8" t="s">
        <v>450</v>
      </c>
      <c r="E90" s="19">
        <v>0</v>
      </c>
      <c r="F90" s="19">
        <v>0</v>
      </c>
      <c r="G90" s="19">
        <v>0</v>
      </c>
      <c r="H90" s="19">
        <v>0</v>
      </c>
      <c r="I90" s="19">
        <v>0</v>
      </c>
      <c r="J90" s="19">
        <v>0</v>
      </c>
      <c r="K90" s="19">
        <v>0</v>
      </c>
      <c r="L90" s="19">
        <v>0</v>
      </c>
      <c r="M90" s="19">
        <v>0</v>
      </c>
      <c r="N90" s="19">
        <v>0</v>
      </c>
      <c r="O90" s="19">
        <v>0</v>
      </c>
      <c r="P90" s="19">
        <v>0</v>
      </c>
      <c r="Q90" s="19">
        <v>0</v>
      </c>
      <c r="R90" s="19">
        <v>0</v>
      </c>
      <c r="S90" s="19">
        <v>0</v>
      </c>
      <c r="T90" s="19">
        <v>2000</v>
      </c>
      <c r="U90" s="19">
        <v>0</v>
      </c>
      <c r="V90" s="19">
        <v>0</v>
      </c>
      <c r="W90" s="19">
        <v>0</v>
      </c>
      <c r="X90" s="19">
        <v>0</v>
      </c>
      <c r="Y90" s="19">
        <v>0</v>
      </c>
      <c r="Z90" s="19">
        <v>0</v>
      </c>
      <c r="AA90" s="19">
        <v>0</v>
      </c>
      <c r="AB90" s="19">
        <v>0</v>
      </c>
      <c r="AC90" s="19">
        <v>0</v>
      </c>
      <c r="AD90" s="19">
        <v>0</v>
      </c>
      <c r="AE90" s="19">
        <v>0</v>
      </c>
      <c r="AF90" s="19">
        <v>0</v>
      </c>
      <c r="AG90" s="19">
        <v>0</v>
      </c>
      <c r="AH90" s="19">
        <v>90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51840</v>
      </c>
      <c r="BC90" s="19">
        <v>0</v>
      </c>
      <c r="BD90" s="19">
        <f t="shared" ref="BD90:BD97" si="73">SUM(E90:BC90)</f>
        <v>53930</v>
      </c>
      <c r="BE90" s="19">
        <f t="shared" ref="BE90:BE97" si="74">SUM(E90:W90)</f>
        <v>2000</v>
      </c>
      <c r="BF90" s="19">
        <f t="shared" ref="BF90:BF97" si="75">SUM(X90:AI90)</f>
        <v>90</v>
      </c>
      <c r="BG90" s="19">
        <f t="shared" ref="BG90:BG97" si="76">SUM(AJ90:BC90)</f>
        <v>51840</v>
      </c>
    </row>
    <row r="91" spans="1:59" x14ac:dyDescent="0.2">
      <c r="C91" s="8">
        <v>601</v>
      </c>
      <c r="D91" s="8" t="s">
        <v>451</v>
      </c>
      <c r="E91" s="19">
        <v>0</v>
      </c>
      <c r="F91" s="19">
        <v>0</v>
      </c>
      <c r="G91" s="19">
        <v>0</v>
      </c>
      <c r="H91" s="19">
        <v>0</v>
      </c>
      <c r="I91" s="19">
        <v>0</v>
      </c>
      <c r="J91" s="19">
        <v>0</v>
      </c>
      <c r="K91" s="19">
        <v>0</v>
      </c>
      <c r="L91" s="19">
        <v>0</v>
      </c>
      <c r="M91" s="19">
        <v>0</v>
      </c>
      <c r="N91" s="19">
        <v>0</v>
      </c>
      <c r="O91" s="19">
        <v>0</v>
      </c>
      <c r="P91" s="19">
        <v>0</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f t="shared" si="73"/>
        <v>0</v>
      </c>
      <c r="BE91" s="19">
        <f t="shared" si="74"/>
        <v>0</v>
      </c>
      <c r="BF91" s="19">
        <f t="shared" si="75"/>
        <v>0</v>
      </c>
      <c r="BG91" s="19">
        <f t="shared" si="76"/>
        <v>0</v>
      </c>
    </row>
    <row r="92" spans="1:59" x14ac:dyDescent="0.2">
      <c r="C92" s="8">
        <v>602</v>
      </c>
      <c r="D92" s="8" t="s">
        <v>452</v>
      </c>
      <c r="E92" s="19">
        <v>0</v>
      </c>
      <c r="F92" s="19">
        <v>0</v>
      </c>
      <c r="G92" s="19">
        <v>0</v>
      </c>
      <c r="H92" s="19">
        <v>0</v>
      </c>
      <c r="I92" s="19">
        <v>0</v>
      </c>
      <c r="J92" s="19">
        <v>0</v>
      </c>
      <c r="K92" s="19">
        <v>0</v>
      </c>
      <c r="L92" s="19">
        <v>0</v>
      </c>
      <c r="M92" s="19">
        <v>0</v>
      </c>
      <c r="N92" s="19">
        <v>0</v>
      </c>
      <c r="O92" s="19">
        <v>0</v>
      </c>
      <c r="P92" s="19">
        <v>0</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f t="shared" si="73"/>
        <v>0</v>
      </c>
      <c r="BE92" s="19">
        <f t="shared" si="74"/>
        <v>0</v>
      </c>
      <c r="BF92" s="19">
        <f t="shared" si="75"/>
        <v>0</v>
      </c>
      <c r="BG92" s="19">
        <f t="shared" si="76"/>
        <v>0</v>
      </c>
    </row>
    <row r="93" spans="1:59" x14ac:dyDescent="0.2">
      <c r="C93" s="8">
        <v>603</v>
      </c>
      <c r="D93" s="8" t="s">
        <v>453</v>
      </c>
      <c r="E93" s="19">
        <v>0</v>
      </c>
      <c r="F93" s="19">
        <v>0</v>
      </c>
      <c r="G93" s="19">
        <v>0</v>
      </c>
      <c r="H93" s="19">
        <v>0</v>
      </c>
      <c r="I93" s="19">
        <v>0</v>
      </c>
      <c r="J93" s="19">
        <v>0</v>
      </c>
      <c r="K93" s="19">
        <v>0</v>
      </c>
      <c r="L93" s="19">
        <v>0</v>
      </c>
      <c r="M93" s="19">
        <v>0</v>
      </c>
      <c r="N93" s="19">
        <v>0</v>
      </c>
      <c r="O93" s="19">
        <v>0</v>
      </c>
      <c r="P93" s="19">
        <v>0</v>
      </c>
      <c r="Q93" s="19">
        <v>0</v>
      </c>
      <c r="R93" s="19">
        <v>126000</v>
      </c>
      <c r="S93" s="19">
        <v>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74000</v>
      </c>
      <c r="AL93" s="19">
        <v>0</v>
      </c>
      <c r="AM93" s="19">
        <v>0</v>
      </c>
      <c r="AN93" s="19">
        <v>0</v>
      </c>
      <c r="AO93" s="19">
        <v>0</v>
      </c>
      <c r="AP93" s="19">
        <v>0</v>
      </c>
      <c r="AQ93" s="19">
        <v>0</v>
      </c>
      <c r="AR93" s="19">
        <v>0</v>
      </c>
      <c r="AS93" s="19">
        <v>0</v>
      </c>
      <c r="AT93" s="19">
        <v>0</v>
      </c>
      <c r="AU93" s="19">
        <v>0</v>
      </c>
      <c r="AV93" s="19">
        <v>0</v>
      </c>
      <c r="AW93" s="19">
        <v>0</v>
      </c>
      <c r="AX93" s="19">
        <v>0</v>
      </c>
      <c r="AY93" s="19">
        <v>0</v>
      </c>
      <c r="AZ93" s="19">
        <v>0</v>
      </c>
      <c r="BA93" s="19">
        <v>0</v>
      </c>
      <c r="BB93" s="19">
        <v>0</v>
      </c>
      <c r="BC93" s="19">
        <v>0</v>
      </c>
      <c r="BD93" s="19">
        <f t="shared" si="73"/>
        <v>200000</v>
      </c>
      <c r="BE93" s="19">
        <f t="shared" si="74"/>
        <v>126000</v>
      </c>
      <c r="BF93" s="19">
        <f t="shared" si="75"/>
        <v>0</v>
      </c>
      <c r="BG93" s="19">
        <f t="shared" si="76"/>
        <v>74000</v>
      </c>
    </row>
    <row r="94" spans="1:59" x14ac:dyDescent="0.2">
      <c r="C94" s="8">
        <v>604</v>
      </c>
      <c r="D94" s="8" t="s">
        <v>454</v>
      </c>
      <c r="E94" s="19">
        <v>96.9</v>
      </c>
      <c r="F94" s="19">
        <v>0</v>
      </c>
      <c r="G94" s="19">
        <v>0</v>
      </c>
      <c r="H94" s="19">
        <v>0</v>
      </c>
      <c r="I94" s="19">
        <v>0</v>
      </c>
      <c r="J94" s="19">
        <v>0</v>
      </c>
      <c r="K94" s="19">
        <v>0</v>
      </c>
      <c r="L94" s="19">
        <v>0</v>
      </c>
      <c r="M94" s="19">
        <v>0</v>
      </c>
      <c r="N94" s="19">
        <v>0</v>
      </c>
      <c r="O94" s="19">
        <v>75000</v>
      </c>
      <c r="P94" s="19">
        <v>0</v>
      </c>
      <c r="Q94" s="19">
        <v>0</v>
      </c>
      <c r="R94" s="19">
        <v>0</v>
      </c>
      <c r="S94" s="19">
        <v>0</v>
      </c>
      <c r="T94" s="19">
        <v>0</v>
      </c>
      <c r="U94" s="19">
        <v>0</v>
      </c>
      <c r="V94" s="19">
        <v>0</v>
      </c>
      <c r="W94" s="19">
        <v>0</v>
      </c>
      <c r="X94" s="19">
        <v>0</v>
      </c>
      <c r="Y94" s="19">
        <v>0</v>
      </c>
      <c r="Z94" s="19">
        <v>0</v>
      </c>
      <c r="AA94" s="19">
        <v>0</v>
      </c>
      <c r="AB94" s="19">
        <v>0</v>
      </c>
      <c r="AC94" s="19">
        <v>374800</v>
      </c>
      <c r="AD94" s="19">
        <v>0</v>
      </c>
      <c r="AE94" s="19">
        <v>0</v>
      </c>
      <c r="AF94" s="19">
        <v>0</v>
      </c>
      <c r="AG94" s="19">
        <v>0</v>
      </c>
      <c r="AH94" s="19">
        <v>0</v>
      </c>
      <c r="AI94" s="19">
        <v>0</v>
      </c>
      <c r="AJ94" s="19">
        <v>0</v>
      </c>
      <c r="AK94" s="19">
        <v>0</v>
      </c>
      <c r="AL94" s="19">
        <v>0</v>
      </c>
      <c r="AM94" s="19">
        <v>0</v>
      </c>
      <c r="AN94" s="19">
        <v>0</v>
      </c>
      <c r="AO94" s="19">
        <v>0</v>
      </c>
      <c r="AP94" s="19">
        <v>0</v>
      </c>
      <c r="AQ94" s="19">
        <v>0</v>
      </c>
      <c r="AR94" s="19">
        <v>0</v>
      </c>
      <c r="AS94" s="19">
        <v>7612.9</v>
      </c>
      <c r="AT94" s="19">
        <v>0</v>
      </c>
      <c r="AU94" s="19">
        <v>0</v>
      </c>
      <c r="AV94" s="19">
        <v>0</v>
      </c>
      <c r="AW94" s="19">
        <v>0</v>
      </c>
      <c r="AX94" s="19">
        <v>0</v>
      </c>
      <c r="AY94" s="19">
        <v>0</v>
      </c>
      <c r="AZ94" s="19">
        <v>0</v>
      </c>
      <c r="BA94" s="19">
        <v>0</v>
      </c>
      <c r="BB94" s="19">
        <v>0</v>
      </c>
      <c r="BC94" s="19">
        <v>0</v>
      </c>
      <c r="BD94" s="19">
        <f t="shared" si="73"/>
        <v>457509.80000000005</v>
      </c>
      <c r="BE94" s="19">
        <f t="shared" si="74"/>
        <v>75096.899999999994</v>
      </c>
      <c r="BF94" s="19">
        <f t="shared" si="75"/>
        <v>374800</v>
      </c>
      <c r="BG94" s="19">
        <f t="shared" si="76"/>
        <v>7612.9</v>
      </c>
    </row>
    <row r="95" spans="1:59" x14ac:dyDescent="0.2">
      <c r="C95" s="8">
        <v>605</v>
      </c>
      <c r="D95" s="8" t="s">
        <v>455</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f t="shared" si="73"/>
        <v>0</v>
      </c>
      <c r="BE95" s="19">
        <f t="shared" si="74"/>
        <v>0</v>
      </c>
      <c r="BF95" s="19">
        <f t="shared" si="75"/>
        <v>0</v>
      </c>
      <c r="BG95" s="19">
        <f t="shared" si="76"/>
        <v>0</v>
      </c>
    </row>
    <row r="96" spans="1:59" x14ac:dyDescent="0.2">
      <c r="C96" s="8">
        <v>606</v>
      </c>
      <c r="D96" s="8" t="s">
        <v>456</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0</v>
      </c>
      <c r="AU96" s="19">
        <v>0</v>
      </c>
      <c r="AV96" s="19">
        <v>0</v>
      </c>
      <c r="AW96" s="19">
        <v>0</v>
      </c>
      <c r="AX96" s="19">
        <v>0</v>
      </c>
      <c r="AY96" s="19">
        <v>0</v>
      </c>
      <c r="AZ96" s="19">
        <v>0</v>
      </c>
      <c r="BA96" s="19">
        <v>0</v>
      </c>
      <c r="BB96" s="19">
        <v>0</v>
      </c>
      <c r="BC96" s="19">
        <v>0</v>
      </c>
      <c r="BD96" s="19">
        <f t="shared" si="73"/>
        <v>0</v>
      </c>
      <c r="BE96" s="19">
        <f t="shared" si="74"/>
        <v>0</v>
      </c>
      <c r="BF96" s="19">
        <f t="shared" si="75"/>
        <v>0</v>
      </c>
      <c r="BG96" s="19">
        <f t="shared" si="76"/>
        <v>0</v>
      </c>
    </row>
    <row r="97" spans="2:59" x14ac:dyDescent="0.2">
      <c r="C97" s="8">
        <v>609</v>
      </c>
      <c r="D97" s="8" t="s">
        <v>457</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f t="shared" si="73"/>
        <v>0</v>
      </c>
      <c r="BE97" s="19">
        <f t="shared" si="74"/>
        <v>0</v>
      </c>
      <c r="BF97" s="19">
        <f t="shared" si="75"/>
        <v>0</v>
      </c>
      <c r="BG97" s="19">
        <f t="shared" si="76"/>
        <v>0</v>
      </c>
    </row>
    <row r="98" spans="2:59"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row>
    <row r="99" spans="2:59" ht="15" x14ac:dyDescent="0.25">
      <c r="B99" s="143">
        <v>61</v>
      </c>
      <c r="C99" s="143"/>
      <c r="D99" s="143" t="s">
        <v>477</v>
      </c>
      <c r="E99" s="200">
        <f>E100+E101+E102+E103+E104+E105+E106+E107</f>
        <v>0</v>
      </c>
      <c r="F99" s="200">
        <f t="shared" ref="F99:BG99" si="77">F100+F101+F102+F103+F104+F105+F106+F107</f>
        <v>0</v>
      </c>
      <c r="G99" s="200">
        <f t="shared" si="77"/>
        <v>0</v>
      </c>
      <c r="H99" s="200">
        <f t="shared" si="77"/>
        <v>0</v>
      </c>
      <c r="I99" s="200">
        <f t="shared" si="77"/>
        <v>0</v>
      </c>
      <c r="J99" s="200">
        <f t="shared" si="77"/>
        <v>0</v>
      </c>
      <c r="K99" s="200">
        <f t="shared" si="77"/>
        <v>0</v>
      </c>
      <c r="L99" s="200">
        <f t="shared" si="77"/>
        <v>115500</v>
      </c>
      <c r="M99" s="200">
        <f t="shared" si="77"/>
        <v>78789</v>
      </c>
      <c r="N99" s="200">
        <f t="shared" si="77"/>
        <v>0</v>
      </c>
      <c r="O99" s="200">
        <f t="shared" si="77"/>
        <v>401500</v>
      </c>
      <c r="P99" s="200">
        <f t="shared" si="77"/>
        <v>0</v>
      </c>
      <c r="Q99" s="200">
        <f t="shared" si="77"/>
        <v>0</v>
      </c>
      <c r="R99" s="200">
        <f t="shared" si="77"/>
        <v>0</v>
      </c>
      <c r="S99" s="200">
        <f t="shared" si="77"/>
        <v>0</v>
      </c>
      <c r="T99" s="200">
        <f t="shared" si="77"/>
        <v>0</v>
      </c>
      <c r="U99" s="200">
        <f t="shared" si="77"/>
        <v>0</v>
      </c>
      <c r="V99" s="200">
        <f t="shared" si="77"/>
        <v>0</v>
      </c>
      <c r="W99" s="200">
        <f t="shared" si="77"/>
        <v>0</v>
      </c>
      <c r="X99" s="200">
        <f t="shared" si="77"/>
        <v>0</v>
      </c>
      <c r="Y99" s="200">
        <f t="shared" si="77"/>
        <v>0</v>
      </c>
      <c r="Z99" s="200">
        <f t="shared" si="77"/>
        <v>0</v>
      </c>
      <c r="AA99" s="200">
        <f t="shared" si="77"/>
        <v>0</v>
      </c>
      <c r="AB99" s="200">
        <f t="shared" si="77"/>
        <v>0</v>
      </c>
      <c r="AC99" s="200">
        <f t="shared" si="77"/>
        <v>0</v>
      </c>
      <c r="AD99" s="200">
        <f t="shared" si="77"/>
        <v>5000</v>
      </c>
      <c r="AE99" s="200">
        <f t="shared" si="77"/>
        <v>0</v>
      </c>
      <c r="AF99" s="200">
        <f t="shared" si="77"/>
        <v>4180.5</v>
      </c>
      <c r="AG99" s="200">
        <f t="shared" si="77"/>
        <v>84367.7</v>
      </c>
      <c r="AH99" s="200">
        <f t="shared" si="77"/>
        <v>0</v>
      </c>
      <c r="AI99" s="200">
        <f t="shared" si="77"/>
        <v>0</v>
      </c>
      <c r="AJ99" s="200">
        <f t="shared" si="77"/>
        <v>0</v>
      </c>
      <c r="AK99" s="200">
        <f t="shared" si="77"/>
        <v>0</v>
      </c>
      <c r="AL99" s="200">
        <f t="shared" si="77"/>
        <v>40</v>
      </c>
      <c r="AM99" s="200">
        <f t="shared" si="77"/>
        <v>0</v>
      </c>
      <c r="AN99" s="200">
        <f t="shared" si="77"/>
        <v>0</v>
      </c>
      <c r="AO99" s="200">
        <f t="shared" si="77"/>
        <v>100000</v>
      </c>
      <c r="AP99" s="200">
        <f t="shared" si="77"/>
        <v>4160</v>
      </c>
      <c r="AQ99" s="200">
        <f t="shared" si="77"/>
        <v>66268.899999999994</v>
      </c>
      <c r="AR99" s="200">
        <f t="shared" si="77"/>
        <v>0</v>
      </c>
      <c r="AS99" s="200">
        <f t="shared" si="77"/>
        <v>0</v>
      </c>
      <c r="AT99" s="200">
        <f t="shared" si="77"/>
        <v>0</v>
      </c>
      <c r="AU99" s="200">
        <f t="shared" si="77"/>
        <v>0</v>
      </c>
      <c r="AV99" s="200">
        <f t="shared" si="77"/>
        <v>0</v>
      </c>
      <c r="AW99" s="200">
        <f t="shared" si="77"/>
        <v>0</v>
      </c>
      <c r="AX99" s="200">
        <f t="shared" si="77"/>
        <v>0</v>
      </c>
      <c r="AY99" s="200">
        <f t="shared" si="77"/>
        <v>0</v>
      </c>
      <c r="AZ99" s="200">
        <f t="shared" si="77"/>
        <v>0</v>
      </c>
      <c r="BA99" s="200">
        <f t="shared" si="77"/>
        <v>0</v>
      </c>
      <c r="BB99" s="200">
        <f t="shared" si="77"/>
        <v>0</v>
      </c>
      <c r="BC99" s="200">
        <f t="shared" si="77"/>
        <v>0</v>
      </c>
      <c r="BD99" s="200">
        <f t="shared" si="77"/>
        <v>859806.10000000009</v>
      </c>
      <c r="BE99" s="200">
        <f t="shared" si="77"/>
        <v>595789</v>
      </c>
      <c r="BF99" s="200">
        <f t="shared" si="77"/>
        <v>93548.2</v>
      </c>
      <c r="BG99" s="200">
        <f t="shared" si="77"/>
        <v>170468.9</v>
      </c>
    </row>
    <row r="100" spans="2:59" x14ac:dyDescent="0.2">
      <c r="C100" s="8">
        <v>610</v>
      </c>
      <c r="D100" s="8" t="s">
        <v>450</v>
      </c>
      <c r="E100" s="19">
        <v>0</v>
      </c>
      <c r="F100" s="19">
        <v>0</v>
      </c>
      <c r="G100" s="19">
        <v>0</v>
      </c>
      <c r="H100" s="19">
        <v>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84367.7</v>
      </c>
      <c r="AH100" s="19">
        <v>0</v>
      </c>
      <c r="AI100" s="19">
        <v>0</v>
      </c>
      <c r="AJ100" s="19">
        <v>0</v>
      </c>
      <c r="AK100" s="19">
        <v>0</v>
      </c>
      <c r="AL100" s="19">
        <v>40</v>
      </c>
      <c r="AM100" s="19">
        <v>0</v>
      </c>
      <c r="AN100" s="19">
        <v>0</v>
      </c>
      <c r="AO100" s="19">
        <v>0</v>
      </c>
      <c r="AP100" s="19">
        <v>0</v>
      </c>
      <c r="AQ100" s="19">
        <v>0</v>
      </c>
      <c r="AR100" s="19">
        <v>0</v>
      </c>
      <c r="AS100" s="19">
        <v>0</v>
      </c>
      <c r="AT100" s="19">
        <v>0</v>
      </c>
      <c r="AU100" s="19">
        <v>0</v>
      </c>
      <c r="AV100" s="19">
        <v>0</v>
      </c>
      <c r="AW100" s="19">
        <v>0</v>
      </c>
      <c r="AX100" s="19">
        <v>0</v>
      </c>
      <c r="AY100" s="19">
        <v>0</v>
      </c>
      <c r="AZ100" s="19">
        <v>0</v>
      </c>
      <c r="BA100" s="19">
        <v>0</v>
      </c>
      <c r="BB100" s="19">
        <v>0</v>
      </c>
      <c r="BC100" s="19">
        <v>0</v>
      </c>
      <c r="BD100" s="19">
        <f t="shared" ref="BD100:BD107" si="78">SUM(E100:BC100)</f>
        <v>84407.7</v>
      </c>
      <c r="BE100" s="19">
        <f t="shared" ref="BE100:BE107" si="79">SUM(E100:W100)</f>
        <v>0</v>
      </c>
      <c r="BF100" s="19">
        <f t="shared" ref="BF100:BF107" si="80">SUM(X100:AI100)</f>
        <v>84367.7</v>
      </c>
      <c r="BG100" s="19">
        <f t="shared" ref="BG100:BG107" si="81">SUM(AJ100:BC100)</f>
        <v>40</v>
      </c>
    </row>
    <row r="101" spans="2:59" x14ac:dyDescent="0.2">
      <c r="C101" s="8">
        <v>611</v>
      </c>
      <c r="D101" s="8" t="s">
        <v>451</v>
      </c>
      <c r="E101" s="19">
        <v>0</v>
      </c>
      <c r="F101" s="19">
        <v>0</v>
      </c>
      <c r="G101" s="19">
        <v>0</v>
      </c>
      <c r="H101" s="19">
        <v>0</v>
      </c>
      <c r="I101" s="19">
        <v>0</v>
      </c>
      <c r="J101" s="19">
        <v>0</v>
      </c>
      <c r="K101" s="19">
        <v>0</v>
      </c>
      <c r="L101" s="19">
        <v>0</v>
      </c>
      <c r="M101" s="19">
        <v>0</v>
      </c>
      <c r="N101" s="19">
        <v>0</v>
      </c>
      <c r="O101" s="19">
        <v>0</v>
      </c>
      <c r="P101" s="19">
        <v>0</v>
      </c>
      <c r="Q101" s="19">
        <v>0</v>
      </c>
      <c r="R101" s="19">
        <v>0</v>
      </c>
      <c r="S101" s="19">
        <v>0</v>
      </c>
      <c r="T101" s="19">
        <v>0</v>
      </c>
      <c r="U101" s="19">
        <v>0</v>
      </c>
      <c r="V101" s="19">
        <v>0</v>
      </c>
      <c r="W101" s="19">
        <v>0</v>
      </c>
      <c r="X101" s="19">
        <v>0</v>
      </c>
      <c r="Y101" s="19">
        <v>0</v>
      </c>
      <c r="Z101" s="19">
        <v>0</v>
      </c>
      <c r="AA101" s="19">
        <v>0</v>
      </c>
      <c r="AB101" s="19">
        <v>0</v>
      </c>
      <c r="AC101" s="19">
        <v>0</v>
      </c>
      <c r="AD101" s="19">
        <v>5000</v>
      </c>
      <c r="AE101" s="19">
        <v>0</v>
      </c>
      <c r="AF101" s="19">
        <v>0</v>
      </c>
      <c r="AG101" s="19">
        <v>0</v>
      </c>
      <c r="AH101" s="19">
        <v>0</v>
      </c>
      <c r="AI101" s="19">
        <v>0</v>
      </c>
      <c r="AJ101" s="19">
        <v>0</v>
      </c>
      <c r="AK101" s="19">
        <v>0</v>
      </c>
      <c r="AL101" s="19">
        <v>0</v>
      </c>
      <c r="AM101" s="19">
        <v>0</v>
      </c>
      <c r="AN101" s="19">
        <v>0</v>
      </c>
      <c r="AO101" s="19">
        <v>0</v>
      </c>
      <c r="AP101" s="19">
        <v>0</v>
      </c>
      <c r="AQ101" s="19">
        <v>-52.5</v>
      </c>
      <c r="AR101" s="19">
        <v>0</v>
      </c>
      <c r="AS101" s="19">
        <v>0</v>
      </c>
      <c r="AT101" s="19">
        <v>0</v>
      </c>
      <c r="AU101" s="19">
        <v>0</v>
      </c>
      <c r="AV101" s="19">
        <v>0</v>
      </c>
      <c r="AW101" s="19">
        <v>0</v>
      </c>
      <c r="AX101" s="19">
        <v>0</v>
      </c>
      <c r="AY101" s="19">
        <v>0</v>
      </c>
      <c r="AZ101" s="19">
        <v>0</v>
      </c>
      <c r="BA101" s="19">
        <v>0</v>
      </c>
      <c r="BB101" s="19">
        <v>0</v>
      </c>
      <c r="BC101" s="19">
        <v>0</v>
      </c>
      <c r="BD101" s="19">
        <f t="shared" si="78"/>
        <v>4947.5</v>
      </c>
      <c r="BE101" s="19">
        <f t="shared" si="79"/>
        <v>0</v>
      </c>
      <c r="BF101" s="19">
        <f t="shared" si="80"/>
        <v>5000</v>
      </c>
      <c r="BG101" s="19">
        <f t="shared" si="81"/>
        <v>-52.5</v>
      </c>
    </row>
    <row r="102" spans="2:59" x14ac:dyDescent="0.2">
      <c r="C102" s="8">
        <v>612</v>
      </c>
      <c r="D102" s="8" t="s">
        <v>452</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100000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f t="shared" si="78"/>
        <v>100000</v>
      </c>
      <c r="BE102" s="19">
        <f t="shared" si="79"/>
        <v>0</v>
      </c>
      <c r="BF102" s="19">
        <f t="shared" si="80"/>
        <v>0</v>
      </c>
      <c r="BG102" s="19">
        <f t="shared" si="81"/>
        <v>100000</v>
      </c>
    </row>
    <row r="103" spans="2:59" x14ac:dyDescent="0.2">
      <c r="C103" s="8">
        <v>613</v>
      </c>
      <c r="D103" s="8" t="s">
        <v>453</v>
      </c>
      <c r="E103" s="19">
        <v>0</v>
      </c>
      <c r="F103" s="19">
        <v>0</v>
      </c>
      <c r="G103" s="19">
        <v>0</v>
      </c>
      <c r="H103" s="19">
        <v>0</v>
      </c>
      <c r="I103" s="19">
        <v>0</v>
      </c>
      <c r="J103" s="19">
        <v>0</v>
      </c>
      <c r="K103" s="19">
        <v>0</v>
      </c>
      <c r="L103" s="19">
        <v>0</v>
      </c>
      <c r="M103" s="19">
        <v>78789</v>
      </c>
      <c r="N103" s="19">
        <v>0</v>
      </c>
      <c r="O103" s="19">
        <v>401500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4180.5</v>
      </c>
      <c r="AG103" s="19">
        <v>0</v>
      </c>
      <c r="AH103" s="19">
        <v>0</v>
      </c>
      <c r="AI103" s="19">
        <v>0</v>
      </c>
      <c r="AJ103" s="19">
        <v>0</v>
      </c>
      <c r="AK103" s="19">
        <v>0</v>
      </c>
      <c r="AL103" s="19">
        <v>0</v>
      </c>
      <c r="AM103" s="19">
        <v>0</v>
      </c>
      <c r="AN103" s="19">
        <v>0</v>
      </c>
      <c r="AO103" s="19">
        <v>0</v>
      </c>
      <c r="AP103" s="19">
        <v>0</v>
      </c>
      <c r="AQ103" s="19">
        <v>66321.399999999994</v>
      </c>
      <c r="AR103" s="19">
        <v>0</v>
      </c>
      <c r="AS103" s="19">
        <v>0</v>
      </c>
      <c r="AT103" s="19">
        <v>0</v>
      </c>
      <c r="AU103" s="19">
        <v>0</v>
      </c>
      <c r="AV103" s="19">
        <v>0</v>
      </c>
      <c r="AW103" s="19">
        <v>0</v>
      </c>
      <c r="AX103" s="19">
        <v>0</v>
      </c>
      <c r="AY103" s="19">
        <v>0</v>
      </c>
      <c r="AZ103" s="19">
        <v>0</v>
      </c>
      <c r="BA103" s="19">
        <v>0</v>
      </c>
      <c r="BB103" s="19">
        <v>0</v>
      </c>
      <c r="BC103" s="19">
        <v>0</v>
      </c>
      <c r="BD103" s="19">
        <f t="shared" si="78"/>
        <v>550790.9</v>
      </c>
      <c r="BE103" s="19">
        <f t="shared" si="79"/>
        <v>480289</v>
      </c>
      <c r="BF103" s="19">
        <f t="shared" si="80"/>
        <v>4180.5</v>
      </c>
      <c r="BG103" s="19">
        <f t="shared" si="81"/>
        <v>66321.399999999994</v>
      </c>
    </row>
    <row r="104" spans="2:59" x14ac:dyDescent="0.2">
      <c r="C104" s="8">
        <v>614</v>
      </c>
      <c r="D104" s="8" t="s">
        <v>454</v>
      </c>
      <c r="E104" s="19">
        <v>0</v>
      </c>
      <c r="F104" s="19">
        <v>0</v>
      </c>
      <c r="G104" s="19">
        <v>0</v>
      </c>
      <c r="H104" s="19">
        <v>0</v>
      </c>
      <c r="I104" s="19">
        <v>0</v>
      </c>
      <c r="J104" s="19">
        <v>0</v>
      </c>
      <c r="K104" s="19">
        <v>0</v>
      </c>
      <c r="L104" s="19">
        <v>115500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0</v>
      </c>
      <c r="AP104" s="19">
        <v>4160</v>
      </c>
      <c r="AQ104" s="19">
        <v>0</v>
      </c>
      <c r="AR104" s="19">
        <v>0</v>
      </c>
      <c r="AS104" s="19">
        <v>0</v>
      </c>
      <c r="AT104" s="19">
        <v>0</v>
      </c>
      <c r="AU104" s="19">
        <v>0</v>
      </c>
      <c r="AV104" s="19">
        <v>0</v>
      </c>
      <c r="AW104" s="19">
        <v>0</v>
      </c>
      <c r="AX104" s="19">
        <v>0</v>
      </c>
      <c r="AY104" s="19">
        <v>0</v>
      </c>
      <c r="AZ104" s="19">
        <v>0</v>
      </c>
      <c r="BA104" s="19">
        <v>0</v>
      </c>
      <c r="BB104" s="19">
        <v>0</v>
      </c>
      <c r="BC104" s="19">
        <v>0</v>
      </c>
      <c r="BD104" s="19">
        <f t="shared" si="78"/>
        <v>119660</v>
      </c>
      <c r="BE104" s="19">
        <f t="shared" si="79"/>
        <v>115500</v>
      </c>
      <c r="BF104" s="19">
        <f t="shared" si="80"/>
        <v>0</v>
      </c>
      <c r="BG104" s="19">
        <f t="shared" si="81"/>
        <v>4160</v>
      </c>
    </row>
    <row r="105" spans="2:59" x14ac:dyDescent="0.2">
      <c r="C105" s="8">
        <v>615</v>
      </c>
      <c r="D105" s="8" t="s">
        <v>455</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0</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f t="shared" si="78"/>
        <v>0</v>
      </c>
      <c r="BE105" s="19">
        <f t="shared" si="79"/>
        <v>0</v>
      </c>
      <c r="BF105" s="19">
        <f t="shared" si="80"/>
        <v>0</v>
      </c>
      <c r="BG105" s="19">
        <f t="shared" si="81"/>
        <v>0</v>
      </c>
    </row>
    <row r="106" spans="2:59" x14ac:dyDescent="0.2">
      <c r="C106" s="8">
        <v>616</v>
      </c>
      <c r="D106" s="8" t="s">
        <v>456</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f t="shared" si="78"/>
        <v>0</v>
      </c>
      <c r="BE106" s="19">
        <f t="shared" si="79"/>
        <v>0</v>
      </c>
      <c r="BF106" s="19">
        <f t="shared" si="80"/>
        <v>0</v>
      </c>
      <c r="BG106" s="19">
        <f t="shared" si="81"/>
        <v>0</v>
      </c>
    </row>
    <row r="107" spans="2:59" x14ac:dyDescent="0.2">
      <c r="C107" s="8">
        <v>619</v>
      </c>
      <c r="D107" s="8" t="s">
        <v>457</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f t="shared" si="78"/>
        <v>0</v>
      </c>
      <c r="BE107" s="19">
        <f t="shared" si="79"/>
        <v>0</v>
      </c>
      <c r="BF107" s="19">
        <f t="shared" si="80"/>
        <v>0</v>
      </c>
      <c r="BG107" s="19">
        <f t="shared" si="81"/>
        <v>0</v>
      </c>
    </row>
    <row r="108" spans="2:59"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row>
    <row r="109" spans="2:59" ht="15" x14ac:dyDescent="0.25">
      <c r="B109" s="143">
        <v>62</v>
      </c>
      <c r="C109" s="143"/>
      <c r="D109" s="143" t="s">
        <v>478</v>
      </c>
      <c r="E109" s="200">
        <f>E110+E111+E112</f>
        <v>0</v>
      </c>
      <c r="F109" s="200">
        <f t="shared" ref="F109:BG109" si="82">F110+F111+F112</f>
        <v>0</v>
      </c>
      <c r="G109" s="200">
        <f t="shared" si="82"/>
        <v>0</v>
      </c>
      <c r="H109" s="200">
        <f t="shared" si="82"/>
        <v>0</v>
      </c>
      <c r="I109" s="200">
        <f t="shared" si="82"/>
        <v>0</v>
      </c>
      <c r="J109" s="200">
        <f t="shared" si="82"/>
        <v>0</v>
      </c>
      <c r="K109" s="200">
        <f t="shared" si="82"/>
        <v>0</v>
      </c>
      <c r="L109" s="200">
        <f t="shared" si="82"/>
        <v>0</v>
      </c>
      <c r="M109" s="200">
        <f t="shared" si="82"/>
        <v>0</v>
      </c>
      <c r="N109" s="200">
        <f t="shared" si="82"/>
        <v>0</v>
      </c>
      <c r="O109" s="200">
        <f t="shared" si="82"/>
        <v>0</v>
      </c>
      <c r="P109" s="200">
        <f t="shared" si="82"/>
        <v>0</v>
      </c>
      <c r="Q109" s="200">
        <f t="shared" si="82"/>
        <v>0</v>
      </c>
      <c r="R109" s="200">
        <f t="shared" si="82"/>
        <v>0</v>
      </c>
      <c r="S109" s="200">
        <f t="shared" si="82"/>
        <v>0</v>
      </c>
      <c r="T109" s="200">
        <f t="shared" si="82"/>
        <v>0</v>
      </c>
      <c r="U109" s="200">
        <f t="shared" si="82"/>
        <v>0</v>
      </c>
      <c r="V109" s="200">
        <f t="shared" si="82"/>
        <v>0</v>
      </c>
      <c r="W109" s="200">
        <f t="shared" si="82"/>
        <v>0</v>
      </c>
      <c r="X109" s="200">
        <f t="shared" si="82"/>
        <v>0</v>
      </c>
      <c r="Y109" s="200">
        <f t="shared" si="82"/>
        <v>0</v>
      </c>
      <c r="Z109" s="200">
        <f t="shared" si="82"/>
        <v>0</v>
      </c>
      <c r="AA109" s="200">
        <f t="shared" si="82"/>
        <v>0</v>
      </c>
      <c r="AB109" s="200">
        <f t="shared" si="82"/>
        <v>0</v>
      </c>
      <c r="AC109" s="200">
        <f t="shared" si="82"/>
        <v>0</v>
      </c>
      <c r="AD109" s="200">
        <f t="shared" si="82"/>
        <v>0</v>
      </c>
      <c r="AE109" s="200">
        <f t="shared" si="82"/>
        <v>0</v>
      </c>
      <c r="AF109" s="200">
        <f t="shared" si="82"/>
        <v>0</v>
      </c>
      <c r="AG109" s="200">
        <f t="shared" si="82"/>
        <v>0</v>
      </c>
      <c r="AH109" s="200">
        <f t="shared" si="82"/>
        <v>0</v>
      </c>
      <c r="AI109" s="200">
        <f t="shared" si="82"/>
        <v>0</v>
      </c>
      <c r="AJ109" s="200">
        <f t="shared" si="82"/>
        <v>0</v>
      </c>
      <c r="AK109" s="200">
        <f t="shared" si="82"/>
        <v>0</v>
      </c>
      <c r="AL109" s="200">
        <f t="shared" si="82"/>
        <v>0</v>
      </c>
      <c r="AM109" s="200">
        <f t="shared" si="82"/>
        <v>0</v>
      </c>
      <c r="AN109" s="200">
        <f t="shared" si="82"/>
        <v>0</v>
      </c>
      <c r="AO109" s="200">
        <f t="shared" si="82"/>
        <v>0</v>
      </c>
      <c r="AP109" s="200">
        <f t="shared" si="82"/>
        <v>0</v>
      </c>
      <c r="AQ109" s="200">
        <f t="shared" si="82"/>
        <v>0</v>
      </c>
      <c r="AR109" s="200">
        <f t="shared" si="82"/>
        <v>0</v>
      </c>
      <c r="AS109" s="200">
        <f t="shared" si="82"/>
        <v>0</v>
      </c>
      <c r="AT109" s="200">
        <f t="shared" si="82"/>
        <v>0</v>
      </c>
      <c r="AU109" s="200">
        <f t="shared" si="82"/>
        <v>0</v>
      </c>
      <c r="AV109" s="200">
        <f t="shared" si="82"/>
        <v>0</v>
      </c>
      <c r="AW109" s="200">
        <f t="shared" si="82"/>
        <v>0</v>
      </c>
      <c r="AX109" s="200">
        <f t="shared" si="82"/>
        <v>0</v>
      </c>
      <c r="AY109" s="200">
        <f t="shared" si="82"/>
        <v>0</v>
      </c>
      <c r="AZ109" s="200">
        <f t="shared" si="82"/>
        <v>0</v>
      </c>
      <c r="BA109" s="200">
        <f t="shared" si="82"/>
        <v>0</v>
      </c>
      <c r="BB109" s="200">
        <f t="shared" si="82"/>
        <v>0</v>
      </c>
      <c r="BC109" s="200">
        <f t="shared" si="82"/>
        <v>0</v>
      </c>
      <c r="BD109" s="200">
        <f t="shared" si="82"/>
        <v>0</v>
      </c>
      <c r="BE109" s="200">
        <f t="shared" si="82"/>
        <v>0</v>
      </c>
      <c r="BF109" s="200">
        <f t="shared" si="82"/>
        <v>0</v>
      </c>
      <c r="BG109" s="200">
        <f t="shared" si="82"/>
        <v>0</v>
      </c>
    </row>
    <row r="110" spans="2:59" x14ac:dyDescent="0.2">
      <c r="C110" s="8">
        <v>620</v>
      </c>
      <c r="D110" s="8" t="s">
        <v>360</v>
      </c>
      <c r="E110" s="19">
        <v>0</v>
      </c>
      <c r="F110" s="19">
        <v>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f>SUM(E110:BC110)</f>
        <v>0</v>
      </c>
      <c r="BE110" s="19">
        <f>SUM(E110:W110)</f>
        <v>0</v>
      </c>
      <c r="BF110" s="19">
        <f>SUM(X110:AI110)</f>
        <v>0</v>
      </c>
      <c r="BG110" s="19">
        <f>SUM(AJ110:BC110)</f>
        <v>0</v>
      </c>
    </row>
    <row r="111" spans="2:59" x14ac:dyDescent="0.2">
      <c r="C111" s="8">
        <v>621</v>
      </c>
      <c r="D111" s="8" t="s">
        <v>361</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f>SUM(E111:BC111)</f>
        <v>0</v>
      </c>
      <c r="BE111" s="19">
        <f>SUM(E111:W111)</f>
        <v>0</v>
      </c>
      <c r="BF111" s="19">
        <f>SUM(X111:AI111)</f>
        <v>0</v>
      </c>
      <c r="BG111" s="19">
        <f>SUM(AJ111:BC111)</f>
        <v>0</v>
      </c>
    </row>
    <row r="112" spans="2:59" x14ac:dyDescent="0.2">
      <c r="C112" s="8">
        <v>629</v>
      </c>
      <c r="D112" s="8" t="s">
        <v>459</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f>SUM(E112:BC112)</f>
        <v>0</v>
      </c>
      <c r="BE112" s="19">
        <f>SUM(E112:W112)</f>
        <v>0</v>
      </c>
      <c r="BF112" s="19">
        <f>SUM(X112:AI112)</f>
        <v>0</v>
      </c>
      <c r="BG112" s="19">
        <f>SUM(AJ112:BC112)</f>
        <v>0</v>
      </c>
    </row>
    <row r="113" spans="2:59"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row>
    <row r="114" spans="2:59" ht="15" x14ac:dyDescent="0.25">
      <c r="B114" s="143">
        <v>63</v>
      </c>
      <c r="C114" s="143"/>
      <c r="D114" s="143" t="s">
        <v>721</v>
      </c>
      <c r="E114" s="200">
        <f>E115+E116+E117+E118+E119+E120+E121+E122+E123</f>
        <v>263043.92</v>
      </c>
      <c r="F114" s="200">
        <f t="shared" ref="F114:BG114" si="83">F115+F116+F117+F118+F119+F120+F121+F122+F123</f>
        <v>0</v>
      </c>
      <c r="G114" s="200">
        <f t="shared" si="83"/>
        <v>0</v>
      </c>
      <c r="H114" s="200">
        <f t="shared" si="83"/>
        <v>0</v>
      </c>
      <c r="I114" s="200">
        <f t="shared" si="83"/>
        <v>72149.2</v>
      </c>
      <c r="J114" s="200">
        <f t="shared" si="83"/>
        <v>327152.94999999995</v>
      </c>
      <c r="K114" s="200">
        <f t="shared" si="83"/>
        <v>41782.75</v>
      </c>
      <c r="L114" s="200">
        <f t="shared" si="83"/>
        <v>3414129.3000000003</v>
      </c>
      <c r="M114" s="200">
        <f>M115+M116+M117+M118+M119+M120+M121+M122+M123</f>
        <v>1496205.15</v>
      </c>
      <c r="N114" s="200">
        <f t="shared" si="83"/>
        <v>0</v>
      </c>
      <c r="O114" s="200">
        <f t="shared" si="83"/>
        <v>2064027.9500000002</v>
      </c>
      <c r="P114" s="200">
        <f t="shared" si="83"/>
        <v>0</v>
      </c>
      <c r="Q114" s="200">
        <f t="shared" si="83"/>
        <v>0</v>
      </c>
      <c r="R114" s="200">
        <f t="shared" si="83"/>
        <v>0</v>
      </c>
      <c r="S114" s="200">
        <f t="shared" si="83"/>
        <v>0</v>
      </c>
      <c r="T114" s="200">
        <f t="shared" si="83"/>
        <v>4401</v>
      </c>
      <c r="U114" s="200">
        <f t="shared" si="83"/>
        <v>0</v>
      </c>
      <c r="V114" s="200">
        <f t="shared" si="83"/>
        <v>0</v>
      </c>
      <c r="W114" s="200">
        <f t="shared" si="83"/>
        <v>809066.56999999983</v>
      </c>
      <c r="X114" s="200">
        <f t="shared" si="83"/>
        <v>0</v>
      </c>
      <c r="Y114" s="200">
        <f t="shared" si="83"/>
        <v>73509.55</v>
      </c>
      <c r="Z114" s="200">
        <f t="shared" si="83"/>
        <v>0</v>
      </c>
      <c r="AA114" s="200">
        <f t="shared" si="83"/>
        <v>267055</v>
      </c>
      <c r="AB114" s="200">
        <f t="shared" si="83"/>
        <v>20170</v>
      </c>
      <c r="AC114" s="200">
        <f t="shared" si="83"/>
        <v>0</v>
      </c>
      <c r="AD114" s="200">
        <f t="shared" si="83"/>
        <v>0</v>
      </c>
      <c r="AE114" s="200">
        <f t="shared" si="83"/>
        <v>131430</v>
      </c>
      <c r="AF114" s="200">
        <f t="shared" si="83"/>
        <v>77623.399999999994</v>
      </c>
      <c r="AG114" s="200">
        <f t="shared" si="83"/>
        <v>127087.55</v>
      </c>
      <c r="AH114" s="200">
        <f t="shared" si="83"/>
        <v>20700</v>
      </c>
      <c r="AI114" s="200">
        <f t="shared" si="83"/>
        <v>575000</v>
      </c>
      <c r="AJ114" s="200">
        <f t="shared" si="83"/>
        <v>31000</v>
      </c>
      <c r="AK114" s="200">
        <f t="shared" si="83"/>
        <v>0</v>
      </c>
      <c r="AL114" s="200">
        <f t="shared" si="83"/>
        <v>217785.5</v>
      </c>
      <c r="AM114" s="200">
        <f t="shared" si="83"/>
        <v>0</v>
      </c>
      <c r="AN114" s="200">
        <f t="shared" si="83"/>
        <v>110999.1</v>
      </c>
      <c r="AO114" s="200">
        <f t="shared" si="83"/>
        <v>60035.9</v>
      </c>
      <c r="AP114" s="200">
        <f t="shared" si="83"/>
        <v>512765.65</v>
      </c>
      <c r="AQ114" s="200">
        <f t="shared" si="83"/>
        <v>1136467.1499999999</v>
      </c>
      <c r="AR114" s="200">
        <f t="shared" si="83"/>
        <v>0</v>
      </c>
      <c r="AS114" s="200">
        <f t="shared" si="83"/>
        <v>0</v>
      </c>
      <c r="AT114" s="200">
        <f t="shared" si="83"/>
        <v>0</v>
      </c>
      <c r="AU114" s="200">
        <f t="shared" si="83"/>
        <v>164207</v>
      </c>
      <c r="AV114" s="200">
        <f t="shared" si="83"/>
        <v>9405.86</v>
      </c>
      <c r="AW114" s="200">
        <f t="shared" si="83"/>
        <v>20000</v>
      </c>
      <c r="AX114" s="200">
        <f t="shared" si="83"/>
        <v>0</v>
      </c>
      <c r="AY114" s="200">
        <f t="shared" si="83"/>
        <v>7567</v>
      </c>
      <c r="AZ114" s="200">
        <f t="shared" si="83"/>
        <v>125913.85</v>
      </c>
      <c r="BA114" s="200">
        <f t="shared" si="83"/>
        <v>29414.05</v>
      </c>
      <c r="BB114" s="200">
        <f t="shared" si="83"/>
        <v>1060440.06</v>
      </c>
      <c r="BC114" s="200">
        <f t="shared" si="83"/>
        <v>1000</v>
      </c>
      <c r="BD114" s="200">
        <f t="shared" si="83"/>
        <v>13271535.41</v>
      </c>
      <c r="BE114" s="200">
        <f t="shared" si="83"/>
        <v>8491958.790000001</v>
      </c>
      <c r="BF114" s="200">
        <f t="shared" si="83"/>
        <v>1292575.5</v>
      </c>
      <c r="BG114" s="200">
        <f t="shared" si="83"/>
        <v>3487001.12</v>
      </c>
    </row>
    <row r="115" spans="2:59" x14ac:dyDescent="0.2">
      <c r="C115" s="8">
        <v>630</v>
      </c>
      <c r="D115" s="8" t="s">
        <v>460</v>
      </c>
      <c r="E115" s="19">
        <v>0</v>
      </c>
      <c r="F115" s="19">
        <v>0</v>
      </c>
      <c r="G115" s="19">
        <v>0</v>
      </c>
      <c r="H115" s="19">
        <v>0</v>
      </c>
      <c r="I115" s="19">
        <v>0</v>
      </c>
      <c r="J115" s="19">
        <v>-25.9</v>
      </c>
      <c r="K115" s="19">
        <v>0</v>
      </c>
      <c r="L115" s="19">
        <v>2577043.7000000002</v>
      </c>
      <c r="M115" s="19">
        <v>466088.6</v>
      </c>
      <c r="N115" s="19">
        <v>0</v>
      </c>
      <c r="O115" s="19">
        <v>0</v>
      </c>
      <c r="P115" s="19">
        <v>0</v>
      </c>
      <c r="Q115" s="19">
        <v>0</v>
      </c>
      <c r="R115" s="19">
        <v>0</v>
      </c>
      <c r="S115" s="19">
        <v>0</v>
      </c>
      <c r="T115" s="19">
        <v>0</v>
      </c>
      <c r="U115" s="19">
        <v>0</v>
      </c>
      <c r="V115" s="19">
        <v>0</v>
      </c>
      <c r="W115" s="19">
        <v>-270955.33</v>
      </c>
      <c r="X115" s="19">
        <v>0</v>
      </c>
      <c r="Y115" s="19">
        <v>0</v>
      </c>
      <c r="Z115" s="19">
        <v>0</v>
      </c>
      <c r="AA115" s="19">
        <v>35124</v>
      </c>
      <c r="AB115" s="19">
        <v>0</v>
      </c>
      <c r="AC115" s="19">
        <v>0</v>
      </c>
      <c r="AD115" s="19">
        <v>0</v>
      </c>
      <c r="AE115" s="19">
        <v>0</v>
      </c>
      <c r="AF115" s="19">
        <v>0</v>
      </c>
      <c r="AG115" s="19">
        <v>0</v>
      </c>
      <c r="AH115" s="19">
        <v>0</v>
      </c>
      <c r="AI115" s="19">
        <v>340000</v>
      </c>
      <c r="AJ115" s="19">
        <v>0</v>
      </c>
      <c r="AK115" s="19">
        <v>0</v>
      </c>
      <c r="AL115" s="19">
        <v>0</v>
      </c>
      <c r="AM115" s="19">
        <v>0</v>
      </c>
      <c r="AN115" s="19">
        <v>55625.4</v>
      </c>
      <c r="AO115" s="19">
        <v>0</v>
      </c>
      <c r="AP115" s="19">
        <v>0</v>
      </c>
      <c r="AQ115" s="19">
        <v>393683</v>
      </c>
      <c r="AR115" s="19">
        <v>0</v>
      </c>
      <c r="AS115" s="19">
        <v>0</v>
      </c>
      <c r="AT115" s="19">
        <v>0</v>
      </c>
      <c r="AU115" s="19">
        <v>0</v>
      </c>
      <c r="AV115" s="19">
        <v>0</v>
      </c>
      <c r="AW115" s="19">
        <v>0</v>
      </c>
      <c r="AX115" s="19">
        <v>0</v>
      </c>
      <c r="AY115" s="19">
        <v>0</v>
      </c>
      <c r="AZ115" s="19">
        <v>0</v>
      </c>
      <c r="BA115" s="19">
        <v>0</v>
      </c>
      <c r="BB115" s="19">
        <v>127600</v>
      </c>
      <c r="BC115" s="19">
        <v>0</v>
      </c>
      <c r="BD115" s="19">
        <f t="shared" ref="BD115:BD123" si="84">SUM(E115:BC115)</f>
        <v>3724183.47</v>
      </c>
      <c r="BE115" s="19">
        <f t="shared" ref="BE115:BE123" si="85">SUM(E115:W115)</f>
        <v>2772151.0700000003</v>
      </c>
      <c r="BF115" s="19">
        <f t="shared" ref="BF115:BF123" si="86">SUM(X115:AI115)</f>
        <v>375124</v>
      </c>
      <c r="BG115" s="19">
        <f t="shared" ref="BG115:BG124" si="87">SUM(AJ115:BC115)</f>
        <v>576908.4</v>
      </c>
    </row>
    <row r="116" spans="2:59" x14ac:dyDescent="0.2">
      <c r="C116" s="8">
        <v>631</v>
      </c>
      <c r="D116" s="8" t="s">
        <v>461</v>
      </c>
      <c r="E116" s="19">
        <v>0</v>
      </c>
      <c r="F116" s="19">
        <v>0</v>
      </c>
      <c r="G116" s="19">
        <v>0</v>
      </c>
      <c r="H116" s="19">
        <v>0</v>
      </c>
      <c r="I116" s="19">
        <v>72149.2</v>
      </c>
      <c r="J116" s="19">
        <v>288567.75</v>
      </c>
      <c r="K116" s="19">
        <v>41782.75</v>
      </c>
      <c r="L116" s="19">
        <v>815085.6</v>
      </c>
      <c r="M116" s="19">
        <v>470266.55</v>
      </c>
      <c r="N116" s="19">
        <v>0</v>
      </c>
      <c r="O116" s="19">
        <v>1988014.35</v>
      </c>
      <c r="P116" s="19">
        <v>0</v>
      </c>
      <c r="Q116" s="19">
        <v>0</v>
      </c>
      <c r="R116" s="19">
        <v>0</v>
      </c>
      <c r="S116" s="19">
        <v>0</v>
      </c>
      <c r="T116" s="19">
        <v>4401</v>
      </c>
      <c r="U116" s="19">
        <v>0</v>
      </c>
      <c r="V116" s="19">
        <v>0</v>
      </c>
      <c r="W116" s="19">
        <v>819506.7</v>
      </c>
      <c r="X116" s="19">
        <v>0</v>
      </c>
      <c r="Y116" s="19">
        <v>7770.55</v>
      </c>
      <c r="Z116" s="19">
        <v>0</v>
      </c>
      <c r="AA116" s="19">
        <v>31931</v>
      </c>
      <c r="AB116" s="19">
        <v>20170</v>
      </c>
      <c r="AC116" s="19">
        <v>0</v>
      </c>
      <c r="AD116" s="19">
        <v>0</v>
      </c>
      <c r="AE116" s="19">
        <v>111270</v>
      </c>
      <c r="AF116" s="19">
        <v>77623.399999999994</v>
      </c>
      <c r="AG116" s="19">
        <v>126715.55</v>
      </c>
      <c r="AH116" s="19">
        <v>20700</v>
      </c>
      <c r="AI116" s="19">
        <v>235000</v>
      </c>
      <c r="AJ116" s="19">
        <v>0</v>
      </c>
      <c r="AK116" s="19">
        <v>0</v>
      </c>
      <c r="AL116" s="19">
        <v>217785.5</v>
      </c>
      <c r="AM116" s="19">
        <v>0</v>
      </c>
      <c r="AN116" s="19">
        <v>39648.699999999997</v>
      </c>
      <c r="AO116" s="19">
        <v>60035.9</v>
      </c>
      <c r="AP116" s="19">
        <v>198945.35</v>
      </c>
      <c r="AQ116" s="19">
        <v>373034.15</v>
      </c>
      <c r="AR116" s="19">
        <v>0</v>
      </c>
      <c r="AS116" s="19">
        <v>0</v>
      </c>
      <c r="AT116" s="19">
        <v>0</v>
      </c>
      <c r="AU116" s="19">
        <v>159207</v>
      </c>
      <c r="AV116" s="19">
        <v>0</v>
      </c>
      <c r="AW116" s="19">
        <v>0</v>
      </c>
      <c r="AX116" s="19">
        <v>0</v>
      </c>
      <c r="AY116" s="19">
        <v>7567</v>
      </c>
      <c r="AZ116" s="19">
        <v>25913.85</v>
      </c>
      <c r="BA116" s="19">
        <v>29414.05</v>
      </c>
      <c r="BB116" s="19">
        <v>101762.26</v>
      </c>
      <c r="BC116" s="19">
        <v>0</v>
      </c>
      <c r="BD116" s="19">
        <f t="shared" si="84"/>
        <v>6344268.1600000001</v>
      </c>
      <c r="BE116" s="19">
        <f t="shared" si="85"/>
        <v>4499773.9000000004</v>
      </c>
      <c r="BF116" s="19">
        <f t="shared" si="86"/>
        <v>631180.5</v>
      </c>
      <c r="BG116" s="19">
        <f t="shared" si="87"/>
        <v>1213313.7600000002</v>
      </c>
    </row>
    <row r="117" spans="2:59" x14ac:dyDescent="0.2">
      <c r="C117" s="8">
        <v>632</v>
      </c>
      <c r="D117" s="8" t="s">
        <v>462</v>
      </c>
      <c r="E117" s="19">
        <v>0</v>
      </c>
      <c r="F117" s="19">
        <v>0</v>
      </c>
      <c r="G117" s="19">
        <v>0</v>
      </c>
      <c r="H117" s="19">
        <v>0</v>
      </c>
      <c r="I117" s="19">
        <v>0</v>
      </c>
      <c r="J117" s="19">
        <v>3273</v>
      </c>
      <c r="K117" s="19">
        <v>0</v>
      </c>
      <c r="L117" s="19">
        <v>0</v>
      </c>
      <c r="M117" s="19">
        <v>0</v>
      </c>
      <c r="N117" s="19">
        <v>0</v>
      </c>
      <c r="O117" s="19">
        <v>0</v>
      </c>
      <c r="P117" s="19">
        <v>0</v>
      </c>
      <c r="Q117" s="19">
        <v>0</v>
      </c>
      <c r="R117" s="19">
        <v>0</v>
      </c>
      <c r="S117" s="19">
        <v>0</v>
      </c>
      <c r="T117" s="19">
        <v>0</v>
      </c>
      <c r="U117" s="19">
        <v>0</v>
      </c>
      <c r="V117" s="19">
        <v>0</v>
      </c>
      <c r="W117" s="19">
        <v>240000</v>
      </c>
      <c r="X117" s="19">
        <v>0</v>
      </c>
      <c r="Y117" s="19">
        <v>65739</v>
      </c>
      <c r="Z117" s="19">
        <v>0</v>
      </c>
      <c r="AA117" s="19">
        <v>0</v>
      </c>
      <c r="AB117" s="19">
        <v>0</v>
      </c>
      <c r="AC117" s="19">
        <v>0</v>
      </c>
      <c r="AD117" s="19">
        <v>0</v>
      </c>
      <c r="AE117" s="19">
        <v>0</v>
      </c>
      <c r="AF117" s="19">
        <v>0</v>
      </c>
      <c r="AG117" s="19">
        <v>0</v>
      </c>
      <c r="AH117" s="19">
        <v>0</v>
      </c>
      <c r="AI117" s="19">
        <v>0</v>
      </c>
      <c r="AJ117" s="19">
        <v>0</v>
      </c>
      <c r="AK117" s="19">
        <v>0</v>
      </c>
      <c r="AL117" s="19">
        <v>0</v>
      </c>
      <c r="AM117" s="19">
        <v>0</v>
      </c>
      <c r="AN117" s="19">
        <v>0</v>
      </c>
      <c r="AO117" s="19">
        <v>0</v>
      </c>
      <c r="AP117" s="19">
        <v>0</v>
      </c>
      <c r="AQ117" s="19">
        <v>0</v>
      </c>
      <c r="AR117" s="19">
        <v>0</v>
      </c>
      <c r="AS117" s="19">
        <v>0</v>
      </c>
      <c r="AT117" s="19">
        <v>0</v>
      </c>
      <c r="AU117" s="19">
        <v>0</v>
      </c>
      <c r="AV117" s="19">
        <v>9405.86</v>
      </c>
      <c r="AW117" s="19">
        <v>20000</v>
      </c>
      <c r="AX117" s="19">
        <v>0</v>
      </c>
      <c r="AY117" s="19">
        <v>0</v>
      </c>
      <c r="AZ117" s="19">
        <v>0</v>
      </c>
      <c r="BA117" s="19">
        <v>0</v>
      </c>
      <c r="BB117" s="19">
        <v>112833.9</v>
      </c>
      <c r="BC117" s="19">
        <v>1000</v>
      </c>
      <c r="BD117" s="19">
        <f t="shared" si="84"/>
        <v>452251.76</v>
      </c>
      <c r="BE117" s="19">
        <f t="shared" si="85"/>
        <v>243273</v>
      </c>
      <c r="BF117" s="19">
        <f t="shared" si="86"/>
        <v>65739</v>
      </c>
      <c r="BG117" s="19">
        <f t="shared" si="87"/>
        <v>143239.76</v>
      </c>
    </row>
    <row r="118" spans="2:59" x14ac:dyDescent="0.2">
      <c r="C118" s="8">
        <v>633</v>
      </c>
      <c r="D118" s="8" t="s">
        <v>463</v>
      </c>
      <c r="E118" s="19">
        <v>263043.92</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f t="shared" si="84"/>
        <v>263043.92</v>
      </c>
      <c r="BE118" s="19">
        <f t="shared" si="85"/>
        <v>263043.92</v>
      </c>
      <c r="BF118" s="19">
        <f t="shared" si="86"/>
        <v>0</v>
      </c>
      <c r="BG118" s="19">
        <f t="shared" si="87"/>
        <v>0</v>
      </c>
    </row>
    <row r="119" spans="2:59" x14ac:dyDescent="0.2">
      <c r="C119" s="8">
        <v>634</v>
      </c>
      <c r="D119" s="8" t="s">
        <v>464</v>
      </c>
      <c r="E119" s="19">
        <v>0</v>
      </c>
      <c r="F119" s="19">
        <v>0</v>
      </c>
      <c r="G119" s="19">
        <v>0</v>
      </c>
      <c r="H119" s="19">
        <v>0</v>
      </c>
      <c r="I119" s="19">
        <v>0</v>
      </c>
      <c r="J119" s="19">
        <v>27047.35</v>
      </c>
      <c r="K119" s="19">
        <v>0</v>
      </c>
      <c r="L119" s="19">
        <v>0</v>
      </c>
      <c r="M119" s="19">
        <v>0</v>
      </c>
      <c r="N119" s="19">
        <v>0</v>
      </c>
      <c r="O119" s="19">
        <v>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372</v>
      </c>
      <c r="AH119" s="19">
        <v>0</v>
      </c>
      <c r="AI119" s="19">
        <v>0</v>
      </c>
      <c r="AJ119" s="19">
        <v>0</v>
      </c>
      <c r="AK119" s="19">
        <v>0</v>
      </c>
      <c r="AL119" s="19">
        <v>0</v>
      </c>
      <c r="AM119" s="19">
        <v>0</v>
      </c>
      <c r="AN119" s="19">
        <v>15725</v>
      </c>
      <c r="AO119" s="19">
        <v>0</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f t="shared" si="84"/>
        <v>43144.35</v>
      </c>
      <c r="BE119" s="19">
        <f t="shared" si="85"/>
        <v>27047.35</v>
      </c>
      <c r="BF119" s="19">
        <f t="shared" si="86"/>
        <v>372</v>
      </c>
      <c r="BG119" s="19">
        <f t="shared" si="87"/>
        <v>15725</v>
      </c>
    </row>
    <row r="120" spans="2:59" x14ac:dyDescent="0.2">
      <c r="C120" s="8">
        <v>635</v>
      </c>
      <c r="D120" s="8" t="s">
        <v>465</v>
      </c>
      <c r="E120" s="19">
        <v>0</v>
      </c>
      <c r="F120" s="19">
        <v>0</v>
      </c>
      <c r="G120" s="19">
        <v>0</v>
      </c>
      <c r="H120" s="19">
        <v>0</v>
      </c>
      <c r="I120" s="19">
        <v>0</v>
      </c>
      <c r="J120" s="19">
        <v>0</v>
      </c>
      <c r="K120" s="19">
        <v>0</v>
      </c>
      <c r="L120" s="19">
        <v>0</v>
      </c>
      <c r="M120" s="19">
        <v>0</v>
      </c>
      <c r="N120" s="19">
        <v>0</v>
      </c>
      <c r="O120" s="19">
        <v>60000</v>
      </c>
      <c r="P120" s="19">
        <v>0</v>
      </c>
      <c r="Q120" s="19">
        <v>0</v>
      </c>
      <c r="R120" s="19">
        <v>0</v>
      </c>
      <c r="S120" s="19">
        <v>0</v>
      </c>
      <c r="T120" s="19">
        <v>0</v>
      </c>
      <c r="U120" s="19">
        <v>0</v>
      </c>
      <c r="V120" s="19">
        <v>0</v>
      </c>
      <c r="W120" s="19">
        <v>20515.2</v>
      </c>
      <c r="X120" s="19">
        <v>0</v>
      </c>
      <c r="Y120" s="19">
        <v>0</v>
      </c>
      <c r="Z120" s="19">
        <v>0</v>
      </c>
      <c r="AA120" s="19">
        <v>200000</v>
      </c>
      <c r="AB120" s="19">
        <v>0</v>
      </c>
      <c r="AC120" s="19">
        <v>0</v>
      </c>
      <c r="AD120" s="19">
        <v>0</v>
      </c>
      <c r="AE120" s="19">
        <v>20160</v>
      </c>
      <c r="AF120" s="19">
        <v>0</v>
      </c>
      <c r="AG120" s="19">
        <v>0</v>
      </c>
      <c r="AH120" s="19">
        <v>0</v>
      </c>
      <c r="AI120" s="19">
        <v>0</v>
      </c>
      <c r="AJ120" s="19">
        <v>31000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137993.9</v>
      </c>
      <c r="BC120" s="19">
        <v>0</v>
      </c>
      <c r="BD120" s="19">
        <f t="shared" si="84"/>
        <v>469669.1</v>
      </c>
      <c r="BE120" s="19">
        <f t="shared" si="85"/>
        <v>80515.199999999997</v>
      </c>
      <c r="BF120" s="19">
        <f t="shared" si="86"/>
        <v>220160</v>
      </c>
      <c r="BG120" s="19">
        <f t="shared" si="87"/>
        <v>168993.9</v>
      </c>
    </row>
    <row r="121" spans="2:59" x14ac:dyDescent="0.2">
      <c r="C121" s="8">
        <v>636</v>
      </c>
      <c r="D121" s="8" t="s">
        <v>466</v>
      </c>
      <c r="E121" s="19">
        <v>0</v>
      </c>
      <c r="F121" s="19">
        <v>0</v>
      </c>
      <c r="G121" s="19">
        <v>0</v>
      </c>
      <c r="H121" s="19">
        <v>0</v>
      </c>
      <c r="I121" s="19">
        <v>0</v>
      </c>
      <c r="J121" s="19">
        <v>0</v>
      </c>
      <c r="K121" s="19">
        <v>0</v>
      </c>
      <c r="L121" s="19">
        <v>22000</v>
      </c>
      <c r="M121" s="19">
        <v>559850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0</v>
      </c>
      <c r="AJ121" s="19">
        <v>0</v>
      </c>
      <c r="AK121" s="19">
        <v>0</v>
      </c>
      <c r="AL121" s="19">
        <v>0</v>
      </c>
      <c r="AM121" s="19">
        <v>0</v>
      </c>
      <c r="AN121" s="19">
        <v>0</v>
      </c>
      <c r="AO121" s="19">
        <v>0</v>
      </c>
      <c r="AP121" s="19">
        <v>313820.3</v>
      </c>
      <c r="AQ121" s="19">
        <v>40000</v>
      </c>
      <c r="AR121" s="19">
        <v>0</v>
      </c>
      <c r="AS121" s="19">
        <v>0</v>
      </c>
      <c r="AT121" s="19">
        <v>0</v>
      </c>
      <c r="AU121" s="19">
        <v>5000</v>
      </c>
      <c r="AV121" s="19">
        <v>0</v>
      </c>
      <c r="AW121" s="19">
        <v>0</v>
      </c>
      <c r="AX121" s="19">
        <v>0</v>
      </c>
      <c r="AY121" s="19">
        <v>0</v>
      </c>
      <c r="AZ121" s="19">
        <v>100000</v>
      </c>
      <c r="BA121" s="19">
        <v>0</v>
      </c>
      <c r="BB121" s="19">
        <v>185000</v>
      </c>
      <c r="BC121" s="19">
        <v>0</v>
      </c>
      <c r="BD121" s="19">
        <f t="shared" si="84"/>
        <v>1225670.3</v>
      </c>
      <c r="BE121" s="19">
        <f t="shared" si="85"/>
        <v>581850</v>
      </c>
      <c r="BF121" s="19">
        <f t="shared" si="86"/>
        <v>0</v>
      </c>
      <c r="BG121" s="19">
        <f t="shared" si="87"/>
        <v>643820.30000000005</v>
      </c>
    </row>
    <row r="122" spans="2:59" x14ac:dyDescent="0.2">
      <c r="C122" s="8">
        <v>637</v>
      </c>
      <c r="D122" s="8" t="s">
        <v>467</v>
      </c>
      <c r="E122" s="19">
        <v>0</v>
      </c>
      <c r="F122" s="19">
        <v>0</v>
      </c>
      <c r="G122" s="19">
        <v>0</v>
      </c>
      <c r="H122" s="19">
        <v>0</v>
      </c>
      <c r="I122" s="19">
        <v>0</v>
      </c>
      <c r="J122" s="19">
        <v>8290.75</v>
      </c>
      <c r="K122" s="19">
        <v>0</v>
      </c>
      <c r="L122" s="19">
        <v>0</v>
      </c>
      <c r="M122" s="19">
        <v>0</v>
      </c>
      <c r="N122" s="19">
        <v>0</v>
      </c>
      <c r="O122" s="19">
        <v>16013.6</v>
      </c>
      <c r="P122" s="19">
        <v>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329750</v>
      </c>
      <c r="AR122" s="19">
        <v>0</v>
      </c>
      <c r="AS122" s="19">
        <v>0</v>
      </c>
      <c r="AT122" s="19">
        <v>0</v>
      </c>
      <c r="AU122" s="19">
        <v>0</v>
      </c>
      <c r="AV122" s="19">
        <v>0</v>
      </c>
      <c r="AW122" s="19">
        <v>0</v>
      </c>
      <c r="AX122" s="19">
        <v>0</v>
      </c>
      <c r="AY122" s="19">
        <v>0</v>
      </c>
      <c r="AZ122" s="19">
        <v>0</v>
      </c>
      <c r="BA122" s="19">
        <v>0</v>
      </c>
      <c r="BB122" s="19">
        <v>395250</v>
      </c>
      <c r="BC122" s="19">
        <v>0</v>
      </c>
      <c r="BD122" s="19">
        <f t="shared" si="84"/>
        <v>749304.35</v>
      </c>
      <c r="BE122" s="19">
        <f t="shared" si="85"/>
        <v>24304.35</v>
      </c>
      <c r="BF122" s="19">
        <f t="shared" si="86"/>
        <v>0</v>
      </c>
      <c r="BG122" s="19">
        <f t="shared" si="87"/>
        <v>725000</v>
      </c>
    </row>
    <row r="123" spans="2:59" x14ac:dyDescent="0.2">
      <c r="C123" s="8">
        <v>638</v>
      </c>
      <c r="D123" s="8" t="s">
        <v>468</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f t="shared" si="84"/>
        <v>0</v>
      </c>
      <c r="BE123" s="19">
        <f t="shared" si="85"/>
        <v>0</v>
      </c>
      <c r="BF123" s="19">
        <f t="shared" si="86"/>
        <v>0</v>
      </c>
      <c r="BG123" s="19">
        <f t="shared" si="87"/>
        <v>0</v>
      </c>
    </row>
    <row r="124" spans="2:59"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f t="shared" si="87"/>
        <v>0</v>
      </c>
    </row>
    <row r="125" spans="2:59" ht="15" x14ac:dyDescent="0.25">
      <c r="B125" s="143">
        <v>64</v>
      </c>
      <c r="C125" s="143"/>
      <c r="D125" s="143" t="s">
        <v>480</v>
      </c>
      <c r="E125" s="200">
        <f>E126+E127+E128+E129+E130+E131+E132+E133+E134</f>
        <v>0</v>
      </c>
      <c r="F125" s="200">
        <f t="shared" ref="F125:BG125" si="88">F126+F127+F128+F129+F130+F131+F132+F133+F134</f>
        <v>0</v>
      </c>
      <c r="G125" s="200">
        <f t="shared" si="88"/>
        <v>0</v>
      </c>
      <c r="H125" s="200">
        <f t="shared" si="88"/>
        <v>0</v>
      </c>
      <c r="I125" s="200">
        <f t="shared" si="88"/>
        <v>0</v>
      </c>
      <c r="J125" s="200">
        <f t="shared" si="88"/>
        <v>0</v>
      </c>
      <c r="K125" s="200">
        <f t="shared" si="88"/>
        <v>0</v>
      </c>
      <c r="L125" s="200">
        <f t="shared" si="88"/>
        <v>0</v>
      </c>
      <c r="M125" s="200">
        <f t="shared" si="88"/>
        <v>0</v>
      </c>
      <c r="N125" s="200">
        <f t="shared" si="88"/>
        <v>0</v>
      </c>
      <c r="O125" s="200">
        <f t="shared" si="88"/>
        <v>0</v>
      </c>
      <c r="P125" s="200">
        <f t="shared" si="88"/>
        <v>0</v>
      </c>
      <c r="Q125" s="200">
        <f t="shared" si="88"/>
        <v>0</v>
      </c>
      <c r="R125" s="200">
        <f t="shared" si="88"/>
        <v>0</v>
      </c>
      <c r="S125" s="200">
        <f t="shared" si="88"/>
        <v>0</v>
      </c>
      <c r="T125" s="200">
        <f t="shared" si="88"/>
        <v>0</v>
      </c>
      <c r="U125" s="200">
        <f t="shared" si="88"/>
        <v>0</v>
      </c>
      <c r="V125" s="200">
        <f t="shared" si="88"/>
        <v>0</v>
      </c>
      <c r="W125" s="200">
        <f t="shared" si="88"/>
        <v>0</v>
      </c>
      <c r="X125" s="200">
        <f t="shared" si="88"/>
        <v>0</v>
      </c>
      <c r="Y125" s="200">
        <f t="shared" si="88"/>
        <v>0</v>
      </c>
      <c r="Z125" s="200">
        <f t="shared" si="88"/>
        <v>0</v>
      </c>
      <c r="AA125" s="200">
        <f t="shared" si="88"/>
        <v>0</v>
      </c>
      <c r="AB125" s="200">
        <f t="shared" si="88"/>
        <v>0</v>
      </c>
      <c r="AC125" s="200">
        <f t="shared" si="88"/>
        <v>0</v>
      </c>
      <c r="AD125" s="200">
        <f t="shared" si="88"/>
        <v>0</v>
      </c>
      <c r="AE125" s="200">
        <f t="shared" si="88"/>
        <v>0</v>
      </c>
      <c r="AF125" s="200">
        <f t="shared" si="88"/>
        <v>0</v>
      </c>
      <c r="AG125" s="200">
        <f t="shared" si="88"/>
        <v>0</v>
      </c>
      <c r="AH125" s="200">
        <f t="shared" si="88"/>
        <v>0</v>
      </c>
      <c r="AI125" s="200">
        <f t="shared" si="88"/>
        <v>0</v>
      </c>
      <c r="AJ125" s="200">
        <f t="shared" si="88"/>
        <v>0</v>
      </c>
      <c r="AK125" s="200">
        <f t="shared" si="88"/>
        <v>0</v>
      </c>
      <c r="AL125" s="200">
        <f t="shared" si="88"/>
        <v>0</v>
      </c>
      <c r="AM125" s="200">
        <f t="shared" si="88"/>
        <v>0</v>
      </c>
      <c r="AN125" s="200">
        <f t="shared" si="88"/>
        <v>0</v>
      </c>
      <c r="AO125" s="200">
        <f t="shared" si="88"/>
        <v>0</v>
      </c>
      <c r="AP125" s="200">
        <f t="shared" si="88"/>
        <v>0</v>
      </c>
      <c r="AQ125" s="200">
        <f t="shared" si="88"/>
        <v>0</v>
      </c>
      <c r="AR125" s="200">
        <f t="shared" si="88"/>
        <v>0</v>
      </c>
      <c r="AS125" s="200">
        <f t="shared" si="88"/>
        <v>0</v>
      </c>
      <c r="AT125" s="200">
        <f t="shared" si="88"/>
        <v>0</v>
      </c>
      <c r="AU125" s="200">
        <f t="shared" si="88"/>
        <v>0</v>
      </c>
      <c r="AV125" s="200">
        <f t="shared" si="88"/>
        <v>0</v>
      </c>
      <c r="AW125" s="200">
        <f t="shared" si="88"/>
        <v>0</v>
      </c>
      <c r="AX125" s="200">
        <f t="shared" si="88"/>
        <v>0</v>
      </c>
      <c r="AY125" s="200">
        <f t="shared" si="88"/>
        <v>0</v>
      </c>
      <c r="AZ125" s="200">
        <f t="shared" si="88"/>
        <v>0</v>
      </c>
      <c r="BA125" s="200">
        <f t="shared" si="88"/>
        <v>0</v>
      </c>
      <c r="BB125" s="200">
        <f t="shared" si="88"/>
        <v>0</v>
      </c>
      <c r="BC125" s="200">
        <f t="shared" si="88"/>
        <v>0</v>
      </c>
      <c r="BD125" s="200">
        <f t="shared" si="88"/>
        <v>0</v>
      </c>
      <c r="BE125" s="200">
        <f t="shared" si="88"/>
        <v>0</v>
      </c>
      <c r="BF125" s="200">
        <f t="shared" si="88"/>
        <v>0</v>
      </c>
      <c r="BG125" s="200">
        <f t="shared" si="88"/>
        <v>0</v>
      </c>
    </row>
    <row r="126" spans="2:59" x14ac:dyDescent="0.2">
      <c r="C126" s="8">
        <v>640</v>
      </c>
      <c r="D126" s="8" t="s">
        <v>460</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f t="shared" ref="BD126:BD135" si="89">SUM(E126:BC126)</f>
        <v>0</v>
      </c>
      <c r="BE126" s="19">
        <f t="shared" ref="BE126:BE134" si="90">SUM(E126:W126)</f>
        <v>0</v>
      </c>
      <c r="BF126" s="19">
        <f t="shared" ref="BF126:BF134" si="91">SUM(X126:AI126)</f>
        <v>0</v>
      </c>
      <c r="BG126" s="19">
        <f t="shared" ref="BG126:BG135" si="92">SUM(AJ126:BC126)</f>
        <v>0</v>
      </c>
    </row>
    <row r="127" spans="2:59" x14ac:dyDescent="0.2">
      <c r="C127" s="8">
        <v>641</v>
      </c>
      <c r="D127" s="8" t="s">
        <v>461</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f t="shared" si="89"/>
        <v>0</v>
      </c>
      <c r="BE127" s="19">
        <f t="shared" si="90"/>
        <v>0</v>
      </c>
      <c r="BF127" s="19">
        <f t="shared" si="91"/>
        <v>0</v>
      </c>
      <c r="BG127" s="19">
        <f t="shared" si="92"/>
        <v>0</v>
      </c>
    </row>
    <row r="128" spans="2:59" x14ac:dyDescent="0.2">
      <c r="C128" s="8">
        <v>642</v>
      </c>
      <c r="D128" s="8" t="s">
        <v>462</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0</v>
      </c>
      <c r="AT128" s="19">
        <v>0</v>
      </c>
      <c r="AU128" s="19">
        <v>0</v>
      </c>
      <c r="AV128" s="19">
        <v>0</v>
      </c>
      <c r="AW128" s="19">
        <v>0</v>
      </c>
      <c r="AX128" s="19">
        <v>0</v>
      </c>
      <c r="AY128" s="19">
        <v>0</v>
      </c>
      <c r="AZ128" s="19">
        <v>0</v>
      </c>
      <c r="BA128" s="19">
        <v>0</v>
      </c>
      <c r="BB128" s="19">
        <v>0</v>
      </c>
      <c r="BC128" s="19">
        <v>0</v>
      </c>
      <c r="BD128" s="19">
        <f t="shared" si="89"/>
        <v>0</v>
      </c>
      <c r="BE128" s="19">
        <f t="shared" si="90"/>
        <v>0</v>
      </c>
      <c r="BF128" s="19">
        <f t="shared" si="91"/>
        <v>0</v>
      </c>
      <c r="BG128" s="19">
        <f t="shared" si="92"/>
        <v>0</v>
      </c>
    </row>
    <row r="129" spans="2:59" x14ac:dyDescent="0.2">
      <c r="C129" s="8">
        <v>643</v>
      </c>
      <c r="D129" s="8" t="s">
        <v>463</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f t="shared" si="89"/>
        <v>0</v>
      </c>
      <c r="BE129" s="19">
        <f t="shared" si="90"/>
        <v>0</v>
      </c>
      <c r="BF129" s="19">
        <f t="shared" si="91"/>
        <v>0</v>
      </c>
      <c r="BG129" s="19">
        <f t="shared" si="92"/>
        <v>0</v>
      </c>
    </row>
    <row r="130" spans="2:59" x14ac:dyDescent="0.2">
      <c r="C130" s="8">
        <v>644</v>
      </c>
      <c r="D130" s="8" t="s">
        <v>464</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f t="shared" si="89"/>
        <v>0</v>
      </c>
      <c r="BE130" s="19">
        <f t="shared" si="90"/>
        <v>0</v>
      </c>
      <c r="BF130" s="19">
        <f t="shared" si="91"/>
        <v>0</v>
      </c>
      <c r="BG130" s="19">
        <f t="shared" si="92"/>
        <v>0</v>
      </c>
    </row>
    <row r="131" spans="2:59" x14ac:dyDescent="0.2">
      <c r="C131" s="8">
        <v>645</v>
      </c>
      <c r="D131" s="8" t="s">
        <v>465</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f t="shared" si="89"/>
        <v>0</v>
      </c>
      <c r="BE131" s="19">
        <f t="shared" si="90"/>
        <v>0</v>
      </c>
      <c r="BF131" s="19">
        <f t="shared" si="91"/>
        <v>0</v>
      </c>
      <c r="BG131" s="19">
        <f t="shared" si="92"/>
        <v>0</v>
      </c>
    </row>
    <row r="132" spans="2:59" x14ac:dyDescent="0.2">
      <c r="C132" s="8">
        <v>646</v>
      </c>
      <c r="D132" s="8" t="s">
        <v>466</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f t="shared" si="89"/>
        <v>0</v>
      </c>
      <c r="BE132" s="19">
        <f t="shared" si="90"/>
        <v>0</v>
      </c>
      <c r="BF132" s="19">
        <f t="shared" si="91"/>
        <v>0</v>
      </c>
      <c r="BG132" s="19">
        <f t="shared" si="92"/>
        <v>0</v>
      </c>
    </row>
    <row r="133" spans="2:59" x14ac:dyDescent="0.2">
      <c r="C133" s="8">
        <v>647</v>
      </c>
      <c r="D133" s="8" t="s">
        <v>467</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f t="shared" si="89"/>
        <v>0</v>
      </c>
      <c r="BE133" s="19">
        <f t="shared" si="90"/>
        <v>0</v>
      </c>
      <c r="BF133" s="19">
        <f t="shared" si="91"/>
        <v>0</v>
      </c>
      <c r="BG133" s="19">
        <f t="shared" si="92"/>
        <v>0</v>
      </c>
    </row>
    <row r="134" spans="2:59" x14ac:dyDescent="0.2">
      <c r="C134" s="8">
        <v>648</v>
      </c>
      <c r="D134" s="8" t="s">
        <v>468</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f t="shared" si="89"/>
        <v>0</v>
      </c>
      <c r="BE134" s="19">
        <f t="shared" si="90"/>
        <v>0</v>
      </c>
      <c r="BF134" s="19">
        <f t="shared" si="91"/>
        <v>0</v>
      </c>
      <c r="BG134" s="19">
        <f t="shared" si="92"/>
        <v>0</v>
      </c>
    </row>
    <row r="135" spans="2:59"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f t="shared" si="89"/>
        <v>0</v>
      </c>
      <c r="BE135" s="19"/>
      <c r="BF135" s="19"/>
      <c r="BG135" s="19">
        <f t="shared" si="92"/>
        <v>0</v>
      </c>
    </row>
    <row r="136" spans="2:59" ht="15" x14ac:dyDescent="0.25">
      <c r="B136" s="143">
        <v>65</v>
      </c>
      <c r="C136" s="143"/>
      <c r="D136" s="143" t="s">
        <v>481</v>
      </c>
      <c r="E136" s="200">
        <f>E137+E138+E139+E140+E141+E142+E143+E144+E145</f>
        <v>0</v>
      </c>
      <c r="F136" s="200">
        <f t="shared" ref="F136:BG136" si="93">F137+F138+F139+F140+F141+F142+F143+F144+F145</f>
        <v>0</v>
      </c>
      <c r="G136" s="200">
        <f t="shared" si="93"/>
        <v>0</v>
      </c>
      <c r="H136" s="200">
        <f t="shared" si="93"/>
        <v>0</v>
      </c>
      <c r="I136" s="200">
        <f t="shared" si="93"/>
        <v>0</v>
      </c>
      <c r="J136" s="200">
        <f t="shared" si="93"/>
        <v>0</v>
      </c>
      <c r="K136" s="200">
        <f t="shared" si="93"/>
        <v>0</v>
      </c>
      <c r="L136" s="200">
        <f t="shared" si="93"/>
        <v>0</v>
      </c>
      <c r="M136" s="200">
        <f t="shared" si="93"/>
        <v>0</v>
      </c>
      <c r="N136" s="200">
        <f t="shared" si="93"/>
        <v>0</v>
      </c>
      <c r="O136" s="200">
        <f t="shared" si="93"/>
        <v>0</v>
      </c>
      <c r="P136" s="200">
        <f t="shared" si="93"/>
        <v>0</v>
      </c>
      <c r="Q136" s="200">
        <f t="shared" si="93"/>
        <v>0</v>
      </c>
      <c r="R136" s="200">
        <f t="shared" si="93"/>
        <v>0</v>
      </c>
      <c r="S136" s="200">
        <f t="shared" si="93"/>
        <v>0</v>
      </c>
      <c r="T136" s="200">
        <f t="shared" si="93"/>
        <v>0</v>
      </c>
      <c r="U136" s="200">
        <f t="shared" si="93"/>
        <v>0</v>
      </c>
      <c r="V136" s="200">
        <f t="shared" si="93"/>
        <v>0</v>
      </c>
      <c r="W136" s="200">
        <f t="shared" si="93"/>
        <v>0</v>
      </c>
      <c r="X136" s="200">
        <f t="shared" si="93"/>
        <v>0</v>
      </c>
      <c r="Y136" s="200">
        <f t="shared" si="93"/>
        <v>0</v>
      </c>
      <c r="Z136" s="200">
        <f t="shared" si="93"/>
        <v>0</v>
      </c>
      <c r="AA136" s="200">
        <f t="shared" si="93"/>
        <v>0</v>
      </c>
      <c r="AB136" s="200">
        <f t="shared" si="93"/>
        <v>0</v>
      </c>
      <c r="AC136" s="200">
        <f t="shared" si="93"/>
        <v>0</v>
      </c>
      <c r="AD136" s="200">
        <f t="shared" si="93"/>
        <v>0</v>
      </c>
      <c r="AE136" s="200">
        <f t="shared" si="93"/>
        <v>0</v>
      </c>
      <c r="AF136" s="200">
        <f t="shared" si="93"/>
        <v>0</v>
      </c>
      <c r="AG136" s="200">
        <f t="shared" si="93"/>
        <v>0</v>
      </c>
      <c r="AH136" s="200">
        <f t="shared" si="93"/>
        <v>0</v>
      </c>
      <c r="AI136" s="200">
        <f t="shared" si="93"/>
        <v>0</v>
      </c>
      <c r="AJ136" s="200">
        <f t="shared" si="93"/>
        <v>0</v>
      </c>
      <c r="AK136" s="200">
        <f t="shared" si="93"/>
        <v>0</v>
      </c>
      <c r="AL136" s="200">
        <f t="shared" si="93"/>
        <v>0</v>
      </c>
      <c r="AM136" s="200">
        <f t="shared" si="93"/>
        <v>0</v>
      </c>
      <c r="AN136" s="200">
        <f t="shared" si="93"/>
        <v>0</v>
      </c>
      <c r="AO136" s="200">
        <f t="shared" si="93"/>
        <v>0</v>
      </c>
      <c r="AP136" s="200">
        <f t="shared" si="93"/>
        <v>0</v>
      </c>
      <c r="AQ136" s="200">
        <f t="shared" si="93"/>
        <v>0</v>
      </c>
      <c r="AR136" s="200">
        <f t="shared" si="93"/>
        <v>0</v>
      </c>
      <c r="AS136" s="200">
        <f t="shared" si="93"/>
        <v>0</v>
      </c>
      <c r="AT136" s="200">
        <f t="shared" si="93"/>
        <v>0</v>
      </c>
      <c r="AU136" s="200">
        <f t="shared" si="93"/>
        <v>0</v>
      </c>
      <c r="AV136" s="200">
        <f t="shared" si="93"/>
        <v>0</v>
      </c>
      <c r="AW136" s="200">
        <f t="shared" si="93"/>
        <v>0</v>
      </c>
      <c r="AX136" s="200">
        <f t="shared" si="93"/>
        <v>0</v>
      </c>
      <c r="AY136" s="200">
        <f t="shared" si="93"/>
        <v>0</v>
      </c>
      <c r="AZ136" s="200">
        <f t="shared" si="93"/>
        <v>0</v>
      </c>
      <c r="BA136" s="200">
        <f t="shared" si="93"/>
        <v>0</v>
      </c>
      <c r="BB136" s="200">
        <f t="shared" si="93"/>
        <v>0</v>
      </c>
      <c r="BC136" s="200">
        <f t="shared" si="93"/>
        <v>0</v>
      </c>
      <c r="BD136" s="200">
        <f t="shared" si="93"/>
        <v>0</v>
      </c>
      <c r="BE136" s="200">
        <f t="shared" si="93"/>
        <v>0</v>
      </c>
      <c r="BF136" s="200">
        <f t="shared" si="93"/>
        <v>0</v>
      </c>
      <c r="BG136" s="200">
        <f t="shared" si="93"/>
        <v>0</v>
      </c>
    </row>
    <row r="137" spans="2:59" x14ac:dyDescent="0.2">
      <c r="C137" s="8">
        <v>650</v>
      </c>
      <c r="D137" s="8" t="s">
        <v>460</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f t="shared" ref="BD137:BD145" si="94">SUM(E137:BC137)</f>
        <v>0</v>
      </c>
      <c r="BE137" s="19">
        <f t="shared" ref="BE137:BE145" si="95">SUM(E137:W137)</f>
        <v>0</v>
      </c>
      <c r="BF137" s="19">
        <f t="shared" ref="BF137:BF145" si="96">SUM(X137:AI137)</f>
        <v>0</v>
      </c>
      <c r="BG137" s="19">
        <f t="shared" ref="BG137:BG145" si="97">SUM(AJ137:BC137)</f>
        <v>0</v>
      </c>
    </row>
    <row r="138" spans="2:59" x14ac:dyDescent="0.2">
      <c r="C138" s="8">
        <v>651</v>
      </c>
      <c r="D138" s="8" t="s">
        <v>461</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f t="shared" si="94"/>
        <v>0</v>
      </c>
      <c r="BE138" s="19">
        <f t="shared" si="95"/>
        <v>0</v>
      </c>
      <c r="BF138" s="19">
        <f t="shared" si="96"/>
        <v>0</v>
      </c>
      <c r="BG138" s="19">
        <f t="shared" si="97"/>
        <v>0</v>
      </c>
    </row>
    <row r="139" spans="2:59" x14ac:dyDescent="0.2">
      <c r="C139" s="8">
        <v>652</v>
      </c>
      <c r="D139" s="8" t="s">
        <v>462</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f t="shared" si="94"/>
        <v>0</v>
      </c>
      <c r="BE139" s="19">
        <f t="shared" si="95"/>
        <v>0</v>
      </c>
      <c r="BF139" s="19">
        <f t="shared" si="96"/>
        <v>0</v>
      </c>
      <c r="BG139" s="19">
        <f t="shared" si="97"/>
        <v>0</v>
      </c>
    </row>
    <row r="140" spans="2:59" x14ac:dyDescent="0.2">
      <c r="C140" s="8">
        <v>653</v>
      </c>
      <c r="D140" s="8" t="s">
        <v>463</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f t="shared" si="94"/>
        <v>0</v>
      </c>
      <c r="BE140" s="19">
        <f t="shared" si="95"/>
        <v>0</v>
      </c>
      <c r="BF140" s="19">
        <f t="shared" si="96"/>
        <v>0</v>
      </c>
      <c r="BG140" s="19">
        <f t="shared" si="97"/>
        <v>0</v>
      </c>
    </row>
    <row r="141" spans="2:59" x14ac:dyDescent="0.2">
      <c r="C141" s="8">
        <v>654</v>
      </c>
      <c r="D141" s="8" t="s">
        <v>464</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f t="shared" si="94"/>
        <v>0</v>
      </c>
      <c r="BE141" s="19">
        <f t="shared" si="95"/>
        <v>0</v>
      </c>
      <c r="BF141" s="19">
        <f t="shared" si="96"/>
        <v>0</v>
      </c>
      <c r="BG141" s="19">
        <f t="shared" si="97"/>
        <v>0</v>
      </c>
    </row>
    <row r="142" spans="2:59" x14ac:dyDescent="0.2">
      <c r="C142" s="8">
        <v>655</v>
      </c>
      <c r="D142" s="8" t="s">
        <v>465</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f t="shared" si="94"/>
        <v>0</v>
      </c>
      <c r="BE142" s="19">
        <f t="shared" si="95"/>
        <v>0</v>
      </c>
      <c r="BF142" s="19">
        <f t="shared" si="96"/>
        <v>0</v>
      </c>
      <c r="BG142" s="19">
        <f t="shared" si="97"/>
        <v>0</v>
      </c>
    </row>
    <row r="143" spans="2:59" x14ac:dyDescent="0.2">
      <c r="C143" s="8">
        <v>656</v>
      </c>
      <c r="D143" s="8" t="s">
        <v>466</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f t="shared" si="94"/>
        <v>0</v>
      </c>
      <c r="BE143" s="19">
        <f t="shared" si="95"/>
        <v>0</v>
      </c>
      <c r="BF143" s="19">
        <f t="shared" si="96"/>
        <v>0</v>
      </c>
      <c r="BG143" s="19">
        <f t="shared" si="97"/>
        <v>0</v>
      </c>
    </row>
    <row r="144" spans="2:59" x14ac:dyDescent="0.2">
      <c r="C144" s="8">
        <v>657</v>
      </c>
      <c r="D144" s="8" t="s">
        <v>467</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f t="shared" si="94"/>
        <v>0</v>
      </c>
      <c r="BE144" s="19">
        <f t="shared" si="95"/>
        <v>0</v>
      </c>
      <c r="BF144" s="19">
        <f t="shared" si="96"/>
        <v>0</v>
      </c>
      <c r="BG144" s="19">
        <f t="shared" si="97"/>
        <v>0</v>
      </c>
    </row>
    <row r="145" spans="2:59" x14ac:dyDescent="0.2">
      <c r="C145" s="8">
        <v>658</v>
      </c>
      <c r="D145" s="8" t="s">
        <v>468</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f t="shared" si="94"/>
        <v>0</v>
      </c>
      <c r="BE145" s="19">
        <f t="shared" si="95"/>
        <v>0</v>
      </c>
      <c r="BF145" s="19">
        <f t="shared" si="96"/>
        <v>0</v>
      </c>
      <c r="BG145" s="19">
        <f t="shared" si="97"/>
        <v>0</v>
      </c>
    </row>
    <row r="146" spans="2:59"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row>
    <row r="147" spans="2:59" ht="15" x14ac:dyDescent="0.25">
      <c r="B147" s="143">
        <v>66</v>
      </c>
      <c r="C147" s="143"/>
      <c r="D147" s="143" t="s">
        <v>482</v>
      </c>
      <c r="E147" s="200">
        <f>E148+E149+E150+E151+E152+E153+E154+E155+E156</f>
        <v>0</v>
      </c>
      <c r="F147" s="200">
        <f t="shared" ref="F147:BG147" si="98">F148+F149+F150+F151+F152+F153+F154+F155+F156</f>
        <v>0</v>
      </c>
      <c r="G147" s="200">
        <f t="shared" si="98"/>
        <v>0</v>
      </c>
      <c r="H147" s="200">
        <f t="shared" si="98"/>
        <v>0</v>
      </c>
      <c r="I147" s="200">
        <f t="shared" si="98"/>
        <v>200000</v>
      </c>
      <c r="J147" s="200">
        <f t="shared" si="98"/>
        <v>0</v>
      </c>
      <c r="K147" s="200">
        <f t="shared" si="98"/>
        <v>0</v>
      </c>
      <c r="L147" s="200">
        <f t="shared" si="98"/>
        <v>0</v>
      </c>
      <c r="M147" s="200">
        <f t="shared" si="98"/>
        <v>0</v>
      </c>
      <c r="N147" s="200">
        <f t="shared" si="98"/>
        <v>0</v>
      </c>
      <c r="O147" s="200">
        <f t="shared" si="98"/>
        <v>0</v>
      </c>
      <c r="P147" s="200">
        <f t="shared" si="98"/>
        <v>0</v>
      </c>
      <c r="Q147" s="200">
        <f t="shared" si="98"/>
        <v>0</v>
      </c>
      <c r="R147" s="200">
        <f t="shared" si="98"/>
        <v>0</v>
      </c>
      <c r="S147" s="200">
        <f t="shared" si="98"/>
        <v>0</v>
      </c>
      <c r="T147" s="200">
        <f t="shared" si="98"/>
        <v>0</v>
      </c>
      <c r="U147" s="200">
        <f t="shared" si="98"/>
        <v>0</v>
      </c>
      <c r="V147" s="200">
        <f t="shared" si="98"/>
        <v>0</v>
      </c>
      <c r="W147" s="200">
        <f t="shared" si="98"/>
        <v>0</v>
      </c>
      <c r="X147" s="200">
        <f t="shared" si="98"/>
        <v>0</v>
      </c>
      <c r="Y147" s="200">
        <f t="shared" si="98"/>
        <v>0</v>
      </c>
      <c r="Z147" s="200">
        <f t="shared" si="98"/>
        <v>0</v>
      </c>
      <c r="AA147" s="200">
        <f t="shared" si="98"/>
        <v>0</v>
      </c>
      <c r="AB147" s="200">
        <f t="shared" si="98"/>
        <v>0</v>
      </c>
      <c r="AC147" s="200">
        <f t="shared" si="98"/>
        <v>0</v>
      </c>
      <c r="AD147" s="200">
        <f t="shared" si="98"/>
        <v>0</v>
      </c>
      <c r="AE147" s="200">
        <f t="shared" si="98"/>
        <v>0</v>
      </c>
      <c r="AF147" s="200">
        <f t="shared" si="98"/>
        <v>0</v>
      </c>
      <c r="AG147" s="200">
        <f t="shared" si="98"/>
        <v>0</v>
      </c>
      <c r="AH147" s="200">
        <f t="shared" si="98"/>
        <v>0</v>
      </c>
      <c r="AI147" s="200">
        <f t="shared" si="98"/>
        <v>0</v>
      </c>
      <c r="AJ147" s="200">
        <f t="shared" si="98"/>
        <v>0</v>
      </c>
      <c r="AK147" s="200">
        <f t="shared" si="98"/>
        <v>0</v>
      </c>
      <c r="AL147" s="200">
        <f t="shared" si="98"/>
        <v>0</v>
      </c>
      <c r="AM147" s="200">
        <f t="shared" si="98"/>
        <v>0</v>
      </c>
      <c r="AN147" s="200">
        <f t="shared" si="98"/>
        <v>0</v>
      </c>
      <c r="AO147" s="200">
        <f t="shared" si="98"/>
        <v>0</v>
      </c>
      <c r="AP147" s="200">
        <f t="shared" si="98"/>
        <v>0</v>
      </c>
      <c r="AQ147" s="200">
        <f t="shared" si="98"/>
        <v>0</v>
      </c>
      <c r="AR147" s="200">
        <f t="shared" si="98"/>
        <v>0</v>
      </c>
      <c r="AS147" s="200">
        <f t="shared" si="98"/>
        <v>0</v>
      </c>
      <c r="AT147" s="200">
        <f t="shared" si="98"/>
        <v>0</v>
      </c>
      <c r="AU147" s="200">
        <f t="shared" si="98"/>
        <v>0</v>
      </c>
      <c r="AV147" s="200">
        <f t="shared" si="98"/>
        <v>0</v>
      </c>
      <c r="AW147" s="200">
        <f t="shared" si="98"/>
        <v>0</v>
      </c>
      <c r="AX147" s="200">
        <f t="shared" si="98"/>
        <v>0</v>
      </c>
      <c r="AY147" s="200">
        <f t="shared" si="98"/>
        <v>0</v>
      </c>
      <c r="AZ147" s="200">
        <f t="shared" si="98"/>
        <v>0</v>
      </c>
      <c r="BA147" s="200">
        <f t="shared" si="98"/>
        <v>0</v>
      </c>
      <c r="BB147" s="200">
        <f t="shared" si="98"/>
        <v>0</v>
      </c>
      <c r="BC147" s="200">
        <f t="shared" si="98"/>
        <v>0</v>
      </c>
      <c r="BD147" s="200">
        <f t="shared" si="98"/>
        <v>200000</v>
      </c>
      <c r="BE147" s="200">
        <f t="shared" si="98"/>
        <v>200000</v>
      </c>
      <c r="BF147" s="200">
        <f t="shared" si="98"/>
        <v>0</v>
      </c>
      <c r="BG147" s="200">
        <f t="shared" si="98"/>
        <v>0</v>
      </c>
    </row>
    <row r="148" spans="2:59" x14ac:dyDescent="0.2">
      <c r="C148" s="8">
        <v>660</v>
      </c>
      <c r="D148" s="8" t="s">
        <v>460</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f t="shared" ref="BD148:BD156" si="99">SUM(E148:BC148)</f>
        <v>0</v>
      </c>
      <c r="BE148" s="19">
        <f t="shared" ref="BE148:BE156" si="100">SUM(E148:W148)</f>
        <v>0</v>
      </c>
      <c r="BF148" s="19">
        <f t="shared" ref="BF148:BF156" si="101">SUM(X148:AI148)</f>
        <v>0</v>
      </c>
      <c r="BG148" s="19">
        <f t="shared" ref="BG148:BG156" si="102">SUM(AJ148:BC148)</f>
        <v>0</v>
      </c>
    </row>
    <row r="149" spans="2:59" x14ac:dyDescent="0.2">
      <c r="C149" s="8">
        <v>661</v>
      </c>
      <c r="D149" s="8" t="s">
        <v>461</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f t="shared" si="99"/>
        <v>0</v>
      </c>
      <c r="BE149" s="19">
        <f t="shared" si="100"/>
        <v>0</v>
      </c>
      <c r="BF149" s="19">
        <f t="shared" si="101"/>
        <v>0</v>
      </c>
      <c r="BG149" s="19">
        <f t="shared" si="102"/>
        <v>0</v>
      </c>
    </row>
    <row r="150" spans="2:59" x14ac:dyDescent="0.2">
      <c r="C150" s="8">
        <v>662</v>
      </c>
      <c r="D150" s="8" t="s">
        <v>462</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f t="shared" si="99"/>
        <v>0</v>
      </c>
      <c r="BE150" s="19">
        <f t="shared" si="100"/>
        <v>0</v>
      </c>
      <c r="BF150" s="19">
        <f t="shared" si="101"/>
        <v>0</v>
      </c>
      <c r="BG150" s="19">
        <f t="shared" si="102"/>
        <v>0</v>
      </c>
    </row>
    <row r="151" spans="2:59" x14ac:dyDescent="0.2">
      <c r="C151" s="8">
        <v>663</v>
      </c>
      <c r="D151" s="8" t="s">
        <v>463</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f t="shared" si="99"/>
        <v>0</v>
      </c>
      <c r="BE151" s="19">
        <f t="shared" si="100"/>
        <v>0</v>
      </c>
      <c r="BF151" s="19">
        <f t="shared" si="101"/>
        <v>0</v>
      </c>
      <c r="BG151" s="19">
        <f t="shared" si="102"/>
        <v>0</v>
      </c>
    </row>
    <row r="152" spans="2:59" x14ac:dyDescent="0.2">
      <c r="C152" s="8">
        <v>664</v>
      </c>
      <c r="D152" s="8" t="s">
        <v>464</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f t="shared" si="99"/>
        <v>0</v>
      </c>
      <c r="BE152" s="19">
        <f t="shared" si="100"/>
        <v>0</v>
      </c>
      <c r="BF152" s="19">
        <f t="shared" si="101"/>
        <v>0</v>
      </c>
      <c r="BG152" s="19">
        <f t="shared" si="102"/>
        <v>0</v>
      </c>
    </row>
    <row r="153" spans="2:59" x14ac:dyDescent="0.2">
      <c r="C153" s="8">
        <v>665</v>
      </c>
      <c r="D153" s="8" t="s">
        <v>465</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f t="shared" si="99"/>
        <v>200000</v>
      </c>
      <c r="BE153" s="19">
        <f t="shared" si="100"/>
        <v>200000</v>
      </c>
      <c r="BF153" s="19">
        <f t="shared" si="101"/>
        <v>0</v>
      </c>
      <c r="BG153" s="19">
        <f t="shared" si="102"/>
        <v>0</v>
      </c>
    </row>
    <row r="154" spans="2:59" x14ac:dyDescent="0.2">
      <c r="C154" s="8">
        <v>666</v>
      </c>
      <c r="D154" s="8" t="s">
        <v>466</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f t="shared" si="99"/>
        <v>0</v>
      </c>
      <c r="BE154" s="19">
        <f t="shared" si="100"/>
        <v>0</v>
      </c>
      <c r="BF154" s="19">
        <f t="shared" si="101"/>
        <v>0</v>
      </c>
      <c r="BG154" s="19">
        <f t="shared" si="102"/>
        <v>0</v>
      </c>
    </row>
    <row r="155" spans="2:59" x14ac:dyDescent="0.2">
      <c r="C155" s="8">
        <v>667</v>
      </c>
      <c r="D155" s="8" t="s">
        <v>467</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f t="shared" si="99"/>
        <v>0</v>
      </c>
      <c r="BE155" s="19">
        <f t="shared" si="100"/>
        <v>0</v>
      </c>
      <c r="BF155" s="19">
        <f t="shared" si="101"/>
        <v>0</v>
      </c>
      <c r="BG155" s="19">
        <f t="shared" si="102"/>
        <v>0</v>
      </c>
    </row>
    <row r="156" spans="2:59" x14ac:dyDescent="0.2">
      <c r="C156" s="8">
        <v>668</v>
      </c>
      <c r="D156" s="8" t="s">
        <v>468</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f t="shared" si="99"/>
        <v>0</v>
      </c>
      <c r="BE156" s="19">
        <f t="shared" si="100"/>
        <v>0</v>
      </c>
      <c r="BF156" s="19">
        <f t="shared" si="101"/>
        <v>0</v>
      </c>
      <c r="BG156" s="19">
        <f t="shared" si="102"/>
        <v>0</v>
      </c>
    </row>
    <row r="157" spans="2:59"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row>
    <row r="158" spans="2:59" ht="15" x14ac:dyDescent="0.25">
      <c r="B158" s="143">
        <v>67</v>
      </c>
      <c r="C158" s="143"/>
      <c r="D158" s="143" t="s">
        <v>470</v>
      </c>
      <c r="E158" s="200">
        <f>E159+E160+E161+E162+E163+E164+E165+E166+E167</f>
        <v>0</v>
      </c>
      <c r="F158" s="200">
        <f t="shared" ref="F158:BG158" si="103">F159+F160+F161+F162+F163+F164+F165+F166+F167</f>
        <v>0</v>
      </c>
      <c r="G158" s="200">
        <f t="shared" si="103"/>
        <v>0</v>
      </c>
      <c r="H158" s="200">
        <f t="shared" si="103"/>
        <v>0</v>
      </c>
      <c r="I158" s="200">
        <f t="shared" si="103"/>
        <v>0</v>
      </c>
      <c r="J158" s="200">
        <f t="shared" si="103"/>
        <v>0</v>
      </c>
      <c r="K158" s="200">
        <f t="shared" si="103"/>
        <v>0</v>
      </c>
      <c r="L158" s="200">
        <f t="shared" si="103"/>
        <v>0</v>
      </c>
      <c r="M158" s="200">
        <f t="shared" si="103"/>
        <v>0</v>
      </c>
      <c r="N158" s="200">
        <f t="shared" si="103"/>
        <v>0</v>
      </c>
      <c r="O158" s="200">
        <f t="shared" si="103"/>
        <v>0</v>
      </c>
      <c r="P158" s="200">
        <f t="shared" si="103"/>
        <v>0</v>
      </c>
      <c r="Q158" s="200">
        <f t="shared" si="103"/>
        <v>0</v>
      </c>
      <c r="R158" s="200">
        <f t="shared" si="103"/>
        <v>0</v>
      </c>
      <c r="S158" s="200">
        <f t="shared" si="103"/>
        <v>0</v>
      </c>
      <c r="T158" s="200">
        <f t="shared" si="103"/>
        <v>0</v>
      </c>
      <c r="U158" s="200">
        <f t="shared" si="103"/>
        <v>0</v>
      </c>
      <c r="V158" s="200">
        <f t="shared" si="103"/>
        <v>0</v>
      </c>
      <c r="W158" s="200">
        <f t="shared" si="103"/>
        <v>0</v>
      </c>
      <c r="X158" s="200">
        <f t="shared" si="103"/>
        <v>0</v>
      </c>
      <c r="Y158" s="200">
        <f t="shared" si="103"/>
        <v>0</v>
      </c>
      <c r="Z158" s="200">
        <f t="shared" si="103"/>
        <v>0</v>
      </c>
      <c r="AA158" s="200">
        <f t="shared" si="103"/>
        <v>0</v>
      </c>
      <c r="AB158" s="200">
        <f t="shared" si="103"/>
        <v>0</v>
      </c>
      <c r="AC158" s="200">
        <f t="shared" si="103"/>
        <v>0</v>
      </c>
      <c r="AD158" s="200">
        <f t="shared" si="103"/>
        <v>0</v>
      </c>
      <c r="AE158" s="200">
        <f t="shared" si="103"/>
        <v>0</v>
      </c>
      <c r="AF158" s="200">
        <f t="shared" si="103"/>
        <v>0</v>
      </c>
      <c r="AG158" s="200">
        <f t="shared" si="103"/>
        <v>0</v>
      </c>
      <c r="AH158" s="200">
        <f t="shared" si="103"/>
        <v>0</v>
      </c>
      <c r="AI158" s="200">
        <f t="shared" si="103"/>
        <v>0</v>
      </c>
      <c r="AJ158" s="200">
        <f t="shared" si="103"/>
        <v>0</v>
      </c>
      <c r="AK158" s="200">
        <f t="shared" si="103"/>
        <v>0</v>
      </c>
      <c r="AL158" s="200">
        <f t="shared" si="103"/>
        <v>0</v>
      </c>
      <c r="AM158" s="200">
        <f t="shared" si="103"/>
        <v>0</v>
      </c>
      <c r="AN158" s="200">
        <f t="shared" si="103"/>
        <v>0</v>
      </c>
      <c r="AO158" s="200">
        <f t="shared" si="103"/>
        <v>0</v>
      </c>
      <c r="AP158" s="200">
        <f t="shared" si="103"/>
        <v>0</v>
      </c>
      <c r="AQ158" s="200">
        <f t="shared" si="103"/>
        <v>0</v>
      </c>
      <c r="AR158" s="200">
        <f t="shared" si="103"/>
        <v>0</v>
      </c>
      <c r="AS158" s="200">
        <f t="shared" si="103"/>
        <v>0</v>
      </c>
      <c r="AT158" s="200">
        <f t="shared" si="103"/>
        <v>0</v>
      </c>
      <c r="AU158" s="200">
        <f t="shared" si="103"/>
        <v>0</v>
      </c>
      <c r="AV158" s="200">
        <f t="shared" si="103"/>
        <v>0</v>
      </c>
      <c r="AW158" s="200">
        <f t="shared" si="103"/>
        <v>0</v>
      </c>
      <c r="AX158" s="200">
        <f t="shared" si="103"/>
        <v>0</v>
      </c>
      <c r="AY158" s="200">
        <f t="shared" si="103"/>
        <v>0</v>
      </c>
      <c r="AZ158" s="200">
        <f t="shared" si="103"/>
        <v>0</v>
      </c>
      <c r="BA158" s="200">
        <f t="shared" si="103"/>
        <v>0</v>
      </c>
      <c r="BB158" s="200">
        <f t="shared" si="103"/>
        <v>0</v>
      </c>
      <c r="BC158" s="200">
        <f t="shared" si="103"/>
        <v>0</v>
      </c>
      <c r="BD158" s="200">
        <f t="shared" si="103"/>
        <v>0</v>
      </c>
      <c r="BE158" s="200">
        <f t="shared" si="103"/>
        <v>0</v>
      </c>
      <c r="BF158" s="200">
        <f t="shared" si="103"/>
        <v>0</v>
      </c>
      <c r="BG158" s="200">
        <f t="shared" si="103"/>
        <v>0</v>
      </c>
    </row>
    <row r="159" spans="2:59" x14ac:dyDescent="0.2">
      <c r="C159" s="8">
        <v>670</v>
      </c>
      <c r="D159" s="8" t="s">
        <v>460</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f t="shared" ref="BD159:BD167" si="104">SUM(E159:BC159)</f>
        <v>0</v>
      </c>
      <c r="BE159" s="19">
        <f t="shared" ref="BE159:BE167" si="105">SUM(E159:W159)</f>
        <v>0</v>
      </c>
      <c r="BF159" s="19">
        <f t="shared" ref="BF159:BF167" si="106">SUM(X159:AI159)</f>
        <v>0</v>
      </c>
      <c r="BG159" s="19">
        <f t="shared" ref="BG159:BG168" si="107">SUM(AJ159:BC159)</f>
        <v>0</v>
      </c>
    </row>
    <row r="160" spans="2:59" x14ac:dyDescent="0.2">
      <c r="C160" s="8">
        <v>671</v>
      </c>
      <c r="D160" s="8" t="s">
        <v>461</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f t="shared" si="104"/>
        <v>0</v>
      </c>
      <c r="BE160" s="19">
        <f t="shared" si="105"/>
        <v>0</v>
      </c>
      <c r="BF160" s="19">
        <f t="shared" si="106"/>
        <v>0</v>
      </c>
      <c r="BG160" s="19">
        <f t="shared" si="107"/>
        <v>0</v>
      </c>
    </row>
    <row r="161" spans="2:59" x14ac:dyDescent="0.2">
      <c r="C161" s="8">
        <v>672</v>
      </c>
      <c r="D161" s="8" t="s">
        <v>462</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f t="shared" si="104"/>
        <v>0</v>
      </c>
      <c r="BE161" s="19">
        <f t="shared" si="105"/>
        <v>0</v>
      </c>
      <c r="BF161" s="19">
        <f t="shared" si="106"/>
        <v>0</v>
      </c>
      <c r="BG161" s="19">
        <f t="shared" si="107"/>
        <v>0</v>
      </c>
    </row>
    <row r="162" spans="2:59" x14ac:dyDescent="0.2">
      <c r="C162" s="8">
        <v>673</v>
      </c>
      <c r="D162" s="8" t="s">
        <v>463</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f t="shared" si="104"/>
        <v>0</v>
      </c>
      <c r="BE162" s="19">
        <f t="shared" si="105"/>
        <v>0</v>
      </c>
      <c r="BF162" s="19">
        <f t="shared" si="106"/>
        <v>0</v>
      </c>
      <c r="BG162" s="19">
        <f t="shared" si="107"/>
        <v>0</v>
      </c>
    </row>
    <row r="163" spans="2:59" x14ac:dyDescent="0.2">
      <c r="C163" s="8">
        <v>674</v>
      </c>
      <c r="D163" s="8" t="s">
        <v>464</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f t="shared" si="104"/>
        <v>0</v>
      </c>
      <c r="BE163" s="19">
        <f t="shared" si="105"/>
        <v>0</v>
      </c>
      <c r="BF163" s="19">
        <f t="shared" si="106"/>
        <v>0</v>
      </c>
      <c r="BG163" s="19">
        <f t="shared" si="107"/>
        <v>0</v>
      </c>
    </row>
    <row r="164" spans="2:59" x14ac:dyDescent="0.2">
      <c r="C164" s="8">
        <v>675</v>
      </c>
      <c r="D164" s="8" t="s">
        <v>465</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f t="shared" si="104"/>
        <v>0</v>
      </c>
      <c r="BE164" s="19">
        <f t="shared" si="105"/>
        <v>0</v>
      </c>
      <c r="BF164" s="19">
        <f t="shared" si="106"/>
        <v>0</v>
      </c>
      <c r="BG164" s="19">
        <f t="shared" si="107"/>
        <v>0</v>
      </c>
    </row>
    <row r="165" spans="2:59" x14ac:dyDescent="0.2">
      <c r="C165" s="8">
        <v>676</v>
      </c>
      <c r="D165" s="8" t="s">
        <v>466</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f t="shared" si="104"/>
        <v>0</v>
      </c>
      <c r="BE165" s="19">
        <f t="shared" si="105"/>
        <v>0</v>
      </c>
      <c r="BF165" s="19">
        <f t="shared" si="106"/>
        <v>0</v>
      </c>
      <c r="BG165" s="19">
        <f t="shared" si="107"/>
        <v>0</v>
      </c>
    </row>
    <row r="166" spans="2:59" x14ac:dyDescent="0.2">
      <c r="C166" s="8">
        <v>677</v>
      </c>
      <c r="D166" s="8" t="s">
        <v>467</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f t="shared" si="104"/>
        <v>0</v>
      </c>
      <c r="BE166" s="19">
        <f t="shared" si="105"/>
        <v>0</v>
      </c>
      <c r="BF166" s="19">
        <f t="shared" si="106"/>
        <v>0</v>
      </c>
      <c r="BG166" s="19">
        <f t="shared" si="107"/>
        <v>0</v>
      </c>
    </row>
    <row r="167" spans="2:59" x14ac:dyDescent="0.2">
      <c r="C167" s="8">
        <v>678</v>
      </c>
      <c r="D167" s="8" t="s">
        <v>468</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f t="shared" si="104"/>
        <v>0</v>
      </c>
      <c r="BE167" s="19">
        <f t="shared" si="105"/>
        <v>0</v>
      </c>
      <c r="BF167" s="19">
        <f t="shared" si="106"/>
        <v>0</v>
      </c>
      <c r="BG167" s="19">
        <f t="shared" si="107"/>
        <v>0</v>
      </c>
    </row>
    <row r="168" spans="2:59"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f t="shared" si="107"/>
        <v>0</v>
      </c>
    </row>
    <row r="169" spans="2:59" ht="15" x14ac:dyDescent="0.25">
      <c r="B169" s="143">
        <v>68</v>
      </c>
      <c r="C169" s="143"/>
      <c r="D169" s="143" t="s">
        <v>483</v>
      </c>
      <c r="E169" s="200">
        <f>E170+E171+E172+E173+E174+E175+E176</f>
        <v>0</v>
      </c>
      <c r="F169" s="200">
        <f t="shared" ref="F169:BG169" si="108">F170+F171+F172+F173+F174+F175+F176</f>
        <v>0</v>
      </c>
      <c r="G169" s="200">
        <f t="shared" si="108"/>
        <v>0</v>
      </c>
      <c r="H169" s="200">
        <f t="shared" si="108"/>
        <v>0</v>
      </c>
      <c r="I169" s="200">
        <f t="shared" si="108"/>
        <v>0</v>
      </c>
      <c r="J169" s="200">
        <f t="shared" si="108"/>
        <v>0</v>
      </c>
      <c r="K169" s="200">
        <f t="shared" si="108"/>
        <v>0</v>
      </c>
      <c r="L169" s="200">
        <f t="shared" si="108"/>
        <v>0</v>
      </c>
      <c r="M169" s="200">
        <f t="shared" si="108"/>
        <v>0</v>
      </c>
      <c r="N169" s="200">
        <f t="shared" si="108"/>
        <v>0</v>
      </c>
      <c r="O169" s="200">
        <f t="shared" si="108"/>
        <v>0</v>
      </c>
      <c r="P169" s="200">
        <f t="shared" si="108"/>
        <v>0</v>
      </c>
      <c r="Q169" s="200">
        <f t="shared" si="108"/>
        <v>0</v>
      </c>
      <c r="R169" s="200">
        <f t="shared" si="108"/>
        <v>0</v>
      </c>
      <c r="S169" s="200">
        <f t="shared" si="108"/>
        <v>0</v>
      </c>
      <c r="T169" s="200">
        <f t="shared" si="108"/>
        <v>0</v>
      </c>
      <c r="U169" s="200">
        <f t="shared" si="108"/>
        <v>0</v>
      </c>
      <c r="V169" s="200">
        <f t="shared" si="108"/>
        <v>0</v>
      </c>
      <c r="W169" s="200">
        <f t="shared" si="108"/>
        <v>0</v>
      </c>
      <c r="X169" s="200">
        <f t="shared" si="108"/>
        <v>0</v>
      </c>
      <c r="Y169" s="200">
        <f t="shared" si="108"/>
        <v>0</v>
      </c>
      <c r="Z169" s="200">
        <f t="shared" si="108"/>
        <v>0</v>
      </c>
      <c r="AA169" s="200">
        <f t="shared" si="108"/>
        <v>0</v>
      </c>
      <c r="AB169" s="200">
        <f t="shared" si="108"/>
        <v>0</v>
      </c>
      <c r="AC169" s="200">
        <f t="shared" si="108"/>
        <v>210000</v>
      </c>
      <c r="AD169" s="200">
        <f t="shared" si="108"/>
        <v>0</v>
      </c>
      <c r="AE169" s="200">
        <f t="shared" si="108"/>
        <v>0</v>
      </c>
      <c r="AF169" s="200">
        <f t="shared" si="108"/>
        <v>0</v>
      </c>
      <c r="AG169" s="200">
        <f t="shared" si="108"/>
        <v>0</v>
      </c>
      <c r="AH169" s="200">
        <f t="shared" si="108"/>
        <v>0</v>
      </c>
      <c r="AI169" s="200">
        <f t="shared" si="108"/>
        <v>0</v>
      </c>
      <c r="AJ169" s="200">
        <f t="shared" si="108"/>
        <v>0</v>
      </c>
      <c r="AK169" s="200">
        <f t="shared" si="108"/>
        <v>0</v>
      </c>
      <c r="AL169" s="200">
        <f t="shared" si="108"/>
        <v>0</v>
      </c>
      <c r="AM169" s="200">
        <f t="shared" si="108"/>
        <v>0</v>
      </c>
      <c r="AN169" s="200">
        <f t="shared" si="108"/>
        <v>0</v>
      </c>
      <c r="AO169" s="200">
        <f t="shared" si="108"/>
        <v>0</v>
      </c>
      <c r="AP169" s="200">
        <f t="shared" si="108"/>
        <v>0</v>
      </c>
      <c r="AQ169" s="200">
        <f t="shared" si="108"/>
        <v>0</v>
      </c>
      <c r="AR169" s="200">
        <f t="shared" si="108"/>
        <v>5049.7</v>
      </c>
      <c r="AS169" s="200">
        <f t="shared" si="108"/>
        <v>0</v>
      </c>
      <c r="AT169" s="200">
        <f t="shared" si="108"/>
        <v>0</v>
      </c>
      <c r="AU169" s="200">
        <f t="shared" si="108"/>
        <v>0</v>
      </c>
      <c r="AV169" s="200">
        <f t="shared" si="108"/>
        <v>0</v>
      </c>
      <c r="AW169" s="200">
        <f t="shared" si="108"/>
        <v>0</v>
      </c>
      <c r="AX169" s="200">
        <f t="shared" si="108"/>
        <v>0</v>
      </c>
      <c r="AY169" s="200">
        <f t="shared" si="108"/>
        <v>0</v>
      </c>
      <c r="AZ169" s="200">
        <f t="shared" si="108"/>
        <v>0</v>
      </c>
      <c r="BA169" s="200">
        <f t="shared" si="108"/>
        <v>51991.8</v>
      </c>
      <c r="BB169" s="200">
        <f t="shared" si="108"/>
        <v>0</v>
      </c>
      <c r="BC169" s="200">
        <f t="shared" si="108"/>
        <v>0</v>
      </c>
      <c r="BD169" s="200">
        <f t="shared" si="108"/>
        <v>267041.5</v>
      </c>
      <c r="BE169" s="200">
        <f t="shared" si="108"/>
        <v>0</v>
      </c>
      <c r="BF169" s="200">
        <f t="shared" si="108"/>
        <v>210000</v>
      </c>
      <c r="BG169" s="200">
        <f t="shared" si="108"/>
        <v>57041.5</v>
      </c>
    </row>
    <row r="170" spans="2:59" x14ac:dyDescent="0.2">
      <c r="C170" s="8">
        <v>680</v>
      </c>
      <c r="D170" s="8" t="s">
        <v>448</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210000</v>
      </c>
      <c r="AD170" s="19">
        <v>0</v>
      </c>
      <c r="AE170" s="19">
        <v>0</v>
      </c>
      <c r="AF170" s="19">
        <v>0</v>
      </c>
      <c r="AG170" s="19">
        <v>0</v>
      </c>
      <c r="AH170" s="19">
        <v>0</v>
      </c>
      <c r="AI170" s="19">
        <v>0</v>
      </c>
      <c r="AJ170" s="19">
        <v>0</v>
      </c>
      <c r="AK170" s="19">
        <v>0</v>
      </c>
      <c r="AL170" s="19">
        <v>0</v>
      </c>
      <c r="AM170" s="19">
        <v>0</v>
      </c>
      <c r="AN170" s="19">
        <v>0</v>
      </c>
      <c r="AO170" s="19">
        <v>0</v>
      </c>
      <c r="AP170" s="19">
        <v>0</v>
      </c>
      <c r="AQ170" s="19">
        <v>0</v>
      </c>
      <c r="AR170" s="19">
        <v>5049.7</v>
      </c>
      <c r="AS170" s="19">
        <v>0</v>
      </c>
      <c r="AT170" s="19">
        <v>0</v>
      </c>
      <c r="AU170" s="19">
        <v>0</v>
      </c>
      <c r="AV170" s="19">
        <v>0</v>
      </c>
      <c r="AW170" s="19">
        <v>0</v>
      </c>
      <c r="AX170" s="19">
        <v>0</v>
      </c>
      <c r="AY170" s="19">
        <v>0</v>
      </c>
      <c r="AZ170" s="19">
        <v>0</v>
      </c>
      <c r="BA170" s="19">
        <v>0</v>
      </c>
      <c r="BB170" s="19">
        <v>0</v>
      </c>
      <c r="BC170" s="19">
        <v>0</v>
      </c>
      <c r="BD170" s="19">
        <f t="shared" ref="BD170:BD176" si="109">SUM(E170:BC170)</f>
        <v>215049.7</v>
      </c>
      <c r="BE170" s="19">
        <f t="shared" ref="BE170:BE176" si="110">SUM(E170:W170)</f>
        <v>0</v>
      </c>
      <c r="BF170" s="19">
        <f t="shared" ref="BF170:BF176" si="111">SUM(X170:AI170)</f>
        <v>210000</v>
      </c>
      <c r="BG170" s="19">
        <f t="shared" ref="BG170:BG176" si="112">SUM(AJ170:BC170)</f>
        <v>5049.7</v>
      </c>
    </row>
    <row r="171" spans="2:59" x14ac:dyDescent="0.2">
      <c r="C171" s="8">
        <v>682</v>
      </c>
      <c r="D171" s="8" t="s">
        <v>458</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f t="shared" si="109"/>
        <v>0</v>
      </c>
      <c r="BE171" s="19">
        <f t="shared" si="110"/>
        <v>0</v>
      </c>
      <c r="BF171" s="19">
        <f t="shared" si="111"/>
        <v>0</v>
      </c>
      <c r="BG171" s="19">
        <f t="shared" si="112"/>
        <v>0</v>
      </c>
    </row>
    <row r="172" spans="2:59" x14ac:dyDescent="0.2">
      <c r="C172" s="8">
        <v>683</v>
      </c>
      <c r="D172" s="8" t="s">
        <v>484</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f t="shared" si="109"/>
        <v>0</v>
      </c>
      <c r="BE172" s="19">
        <f t="shared" si="110"/>
        <v>0</v>
      </c>
      <c r="BF172" s="19">
        <f t="shared" si="111"/>
        <v>0</v>
      </c>
      <c r="BG172" s="19">
        <f t="shared" si="112"/>
        <v>0</v>
      </c>
    </row>
    <row r="173" spans="2:59" x14ac:dyDescent="0.2">
      <c r="C173" s="8">
        <v>684</v>
      </c>
      <c r="D173" s="8" t="s">
        <v>246</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f t="shared" si="109"/>
        <v>0</v>
      </c>
      <c r="BE173" s="19">
        <f t="shared" si="110"/>
        <v>0</v>
      </c>
      <c r="BF173" s="19">
        <f t="shared" si="111"/>
        <v>0</v>
      </c>
      <c r="BG173" s="19">
        <f t="shared" si="112"/>
        <v>0</v>
      </c>
    </row>
    <row r="174" spans="2:59" x14ac:dyDescent="0.2">
      <c r="C174" s="8">
        <v>685</v>
      </c>
      <c r="D174" s="8" t="s">
        <v>373</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f t="shared" si="109"/>
        <v>0</v>
      </c>
      <c r="BE174" s="19">
        <f t="shared" si="110"/>
        <v>0</v>
      </c>
      <c r="BF174" s="19">
        <f t="shared" si="111"/>
        <v>0</v>
      </c>
      <c r="BG174" s="19">
        <f t="shared" si="112"/>
        <v>0</v>
      </c>
    </row>
    <row r="175" spans="2:59" x14ac:dyDescent="0.2">
      <c r="C175" s="8">
        <v>686</v>
      </c>
      <c r="D175" s="8" t="s">
        <v>485</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f t="shared" si="109"/>
        <v>0</v>
      </c>
      <c r="BE175" s="19">
        <f t="shared" si="110"/>
        <v>0</v>
      </c>
      <c r="BF175" s="19">
        <f t="shared" si="111"/>
        <v>0</v>
      </c>
      <c r="BG175" s="19">
        <f t="shared" si="112"/>
        <v>0</v>
      </c>
    </row>
    <row r="176" spans="2:59" x14ac:dyDescent="0.2">
      <c r="C176" s="8">
        <v>689</v>
      </c>
      <c r="D176" s="8" t="s">
        <v>486</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51991.8</v>
      </c>
      <c r="BB176" s="19">
        <v>0</v>
      </c>
      <c r="BC176" s="19">
        <v>0</v>
      </c>
      <c r="BD176" s="19">
        <f t="shared" si="109"/>
        <v>51991.8</v>
      </c>
      <c r="BE176" s="19">
        <f t="shared" si="110"/>
        <v>0</v>
      </c>
      <c r="BF176" s="19">
        <f t="shared" si="111"/>
        <v>0</v>
      </c>
      <c r="BG176" s="19">
        <f t="shared" si="112"/>
        <v>51991.8</v>
      </c>
    </row>
    <row r="177" spans="2:59"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row>
    <row r="178" spans="2:59" ht="15" x14ac:dyDescent="0.25">
      <c r="B178" s="143">
        <v>69</v>
      </c>
      <c r="C178" s="143"/>
      <c r="D178" s="143" t="s">
        <v>487</v>
      </c>
      <c r="E178" s="200">
        <f>E179</f>
        <v>1771946.56</v>
      </c>
      <c r="F178" s="200">
        <f t="shared" ref="F178:BG178" si="113">F179</f>
        <v>65959.149999999994</v>
      </c>
      <c r="G178" s="200">
        <f t="shared" si="113"/>
        <v>39456.93</v>
      </c>
      <c r="H178" s="200">
        <f t="shared" si="113"/>
        <v>41883.599999999999</v>
      </c>
      <c r="I178" s="200">
        <f t="shared" si="113"/>
        <v>5993855.8399999999</v>
      </c>
      <c r="J178" s="200">
        <f t="shared" si="113"/>
        <v>1194129.75</v>
      </c>
      <c r="K178" s="200">
        <f t="shared" si="113"/>
        <v>1533433.82</v>
      </c>
      <c r="L178" s="200">
        <f t="shared" si="113"/>
        <v>14731209.189999999</v>
      </c>
      <c r="M178" s="200">
        <f t="shared" si="113"/>
        <v>2257839.25</v>
      </c>
      <c r="N178" s="200">
        <f t="shared" si="113"/>
        <v>41267.75</v>
      </c>
      <c r="O178" s="200">
        <f t="shared" si="113"/>
        <v>5871184.3700000001</v>
      </c>
      <c r="P178" s="200">
        <f t="shared" si="113"/>
        <v>81241.62</v>
      </c>
      <c r="Q178" s="200">
        <f t="shared" si="113"/>
        <v>26121.05</v>
      </c>
      <c r="R178" s="200">
        <f t="shared" si="113"/>
        <v>571739.03</v>
      </c>
      <c r="S178" s="200">
        <f t="shared" si="113"/>
        <v>18747.150000000001</v>
      </c>
      <c r="T178" s="200">
        <f t="shared" si="113"/>
        <v>40075.75</v>
      </c>
      <c r="U178" s="200">
        <f t="shared" si="113"/>
        <v>98779.16</v>
      </c>
      <c r="V178" s="200">
        <f t="shared" si="113"/>
        <v>13524.55</v>
      </c>
      <c r="W178" s="200">
        <f t="shared" si="113"/>
        <v>1792479.95</v>
      </c>
      <c r="X178" s="200">
        <f t="shared" si="113"/>
        <v>85627.8</v>
      </c>
      <c r="Y178" s="200">
        <f t="shared" si="113"/>
        <v>426067.20000000001</v>
      </c>
      <c r="Z178" s="200">
        <f t="shared" si="113"/>
        <v>1561611.65</v>
      </c>
      <c r="AA178" s="200">
        <f t="shared" si="113"/>
        <v>181878.45</v>
      </c>
      <c r="AB178" s="200">
        <f t="shared" si="113"/>
        <v>105748.1</v>
      </c>
      <c r="AC178" s="200">
        <f t="shared" si="113"/>
        <v>800065.97</v>
      </c>
      <c r="AD178" s="200">
        <f t="shared" si="113"/>
        <v>189251.4</v>
      </c>
      <c r="AE178" s="200">
        <f t="shared" si="113"/>
        <v>255971.95</v>
      </c>
      <c r="AF178" s="200">
        <f t="shared" si="113"/>
        <v>2149930.66</v>
      </c>
      <c r="AG178" s="200">
        <f t="shared" si="113"/>
        <v>933570.84</v>
      </c>
      <c r="AH178" s="200">
        <f t="shared" si="113"/>
        <v>245354.91</v>
      </c>
      <c r="AI178" s="200">
        <f t="shared" si="113"/>
        <v>852018.05</v>
      </c>
      <c r="AJ178" s="200">
        <f t="shared" si="113"/>
        <v>614594.05000000005</v>
      </c>
      <c r="AK178" s="200">
        <f t="shared" si="113"/>
        <v>123521.5</v>
      </c>
      <c r="AL178" s="200">
        <f t="shared" si="113"/>
        <v>1379072.37</v>
      </c>
      <c r="AM178" s="200">
        <f t="shared" si="113"/>
        <v>29611.8</v>
      </c>
      <c r="AN178" s="200">
        <f t="shared" si="113"/>
        <v>1266531.1000000001</v>
      </c>
      <c r="AO178" s="200">
        <f t="shared" si="113"/>
        <v>254076.55</v>
      </c>
      <c r="AP178" s="200">
        <f t="shared" si="113"/>
        <v>1121531.47</v>
      </c>
      <c r="AQ178" s="200">
        <f t="shared" si="113"/>
        <v>881193.7</v>
      </c>
      <c r="AR178" s="200">
        <f t="shared" si="113"/>
        <v>359515.8</v>
      </c>
      <c r="AS178" s="200">
        <f t="shared" si="113"/>
        <v>213352.45</v>
      </c>
      <c r="AT178" s="200">
        <f t="shared" si="113"/>
        <v>307820.15000000002</v>
      </c>
      <c r="AU178" s="200">
        <f t="shared" si="113"/>
        <v>2525481.0499999998</v>
      </c>
      <c r="AV178" s="200">
        <f t="shared" si="113"/>
        <v>428018.12</v>
      </c>
      <c r="AW178" s="200">
        <f t="shared" si="113"/>
        <v>125702.05</v>
      </c>
      <c r="AX178" s="200">
        <f t="shared" si="113"/>
        <v>55879.7</v>
      </c>
      <c r="AY178" s="200">
        <f t="shared" si="113"/>
        <v>662666.80000000005</v>
      </c>
      <c r="AZ178" s="200">
        <f t="shared" si="113"/>
        <v>456466.83</v>
      </c>
      <c r="BA178" s="200">
        <f t="shared" si="113"/>
        <v>395313</v>
      </c>
      <c r="BB178" s="200">
        <f>BB179</f>
        <v>5194591.42</v>
      </c>
      <c r="BC178" s="200">
        <f t="shared" si="113"/>
        <v>531179.6</v>
      </c>
      <c r="BD178" s="200">
        <f t="shared" si="113"/>
        <v>60898090.959999971</v>
      </c>
      <c r="BE178" s="200">
        <f t="shared" si="113"/>
        <v>36184874.469999991</v>
      </c>
      <c r="BF178" s="200">
        <f t="shared" si="113"/>
        <v>7787096.9799999995</v>
      </c>
      <c r="BG178" s="200">
        <f t="shared" si="113"/>
        <v>16926119.510000002</v>
      </c>
    </row>
    <row r="179" spans="2:59" x14ac:dyDescent="0.2">
      <c r="C179" s="8">
        <v>690</v>
      </c>
      <c r="D179" s="8" t="s">
        <v>487</v>
      </c>
      <c r="E179" s="19">
        <v>1771946.56</v>
      </c>
      <c r="F179" s="19">
        <v>65959.149999999994</v>
      </c>
      <c r="G179" s="19">
        <v>39456.93</v>
      </c>
      <c r="H179" s="19">
        <v>41883.599999999999</v>
      </c>
      <c r="I179" s="19">
        <v>5993855.8399999999</v>
      </c>
      <c r="J179" s="19">
        <v>1194129.75</v>
      </c>
      <c r="K179" s="19">
        <v>1533433.82</v>
      </c>
      <c r="L179" s="19">
        <v>14731209.189999999</v>
      </c>
      <c r="M179" s="19">
        <v>2257839.25</v>
      </c>
      <c r="N179" s="19">
        <v>41267.75</v>
      </c>
      <c r="O179" s="19">
        <v>5871184.3700000001</v>
      </c>
      <c r="P179" s="19">
        <v>81241.62</v>
      </c>
      <c r="Q179" s="19">
        <v>26121.05</v>
      </c>
      <c r="R179" s="19">
        <v>571739.03</v>
      </c>
      <c r="S179" s="19">
        <v>18747.150000000001</v>
      </c>
      <c r="T179" s="19">
        <v>40075.75</v>
      </c>
      <c r="U179" s="19">
        <v>98779.16</v>
      </c>
      <c r="V179" s="19">
        <v>13524.55</v>
      </c>
      <c r="W179" s="19">
        <v>1792479.95</v>
      </c>
      <c r="X179" s="19">
        <v>85627.8</v>
      </c>
      <c r="Y179" s="19">
        <v>426067.20000000001</v>
      </c>
      <c r="Z179" s="19">
        <v>1561611.65</v>
      </c>
      <c r="AA179" s="19">
        <v>181878.45</v>
      </c>
      <c r="AB179" s="19">
        <v>105748.1</v>
      </c>
      <c r="AC179" s="19">
        <v>800065.97</v>
      </c>
      <c r="AD179" s="19">
        <v>189251.4</v>
      </c>
      <c r="AE179" s="19">
        <v>255971.95</v>
      </c>
      <c r="AF179" s="19">
        <v>2149930.66</v>
      </c>
      <c r="AG179" s="19">
        <v>933570.84</v>
      </c>
      <c r="AH179" s="19">
        <v>245354.91</v>
      </c>
      <c r="AI179" s="19">
        <v>852018.05</v>
      </c>
      <c r="AJ179" s="19">
        <v>614594.05000000005</v>
      </c>
      <c r="AK179" s="19">
        <v>123521.5</v>
      </c>
      <c r="AL179" s="19">
        <v>1379072.37</v>
      </c>
      <c r="AM179" s="19">
        <v>29611.8</v>
      </c>
      <c r="AN179" s="19">
        <v>1266531.1000000001</v>
      </c>
      <c r="AO179" s="19">
        <v>254076.55</v>
      </c>
      <c r="AP179" s="19">
        <v>1121531.47</v>
      </c>
      <c r="AQ179" s="19">
        <v>881193.7</v>
      </c>
      <c r="AR179" s="19">
        <v>359515.8</v>
      </c>
      <c r="AS179" s="19">
        <v>213352.45</v>
      </c>
      <c r="AT179" s="19">
        <v>307820.15000000002</v>
      </c>
      <c r="AU179" s="19">
        <v>2525481.0499999998</v>
      </c>
      <c r="AV179" s="19">
        <v>428018.12</v>
      </c>
      <c r="AW179" s="19">
        <v>125702.05</v>
      </c>
      <c r="AX179" s="19">
        <v>55879.7</v>
      </c>
      <c r="AY179" s="19">
        <v>662666.80000000005</v>
      </c>
      <c r="AZ179" s="19">
        <v>456466.83</v>
      </c>
      <c r="BA179" s="19">
        <v>395313</v>
      </c>
      <c r="BB179" s="19">
        <v>5194591.42</v>
      </c>
      <c r="BC179" s="19">
        <v>531179.6</v>
      </c>
      <c r="BD179" s="19">
        <f>SUM(E179:BC179)</f>
        <v>60898090.959999971</v>
      </c>
      <c r="BE179" s="19">
        <f>SUM(E179:W179)</f>
        <v>36184874.469999991</v>
      </c>
      <c r="BF179" s="19">
        <f>SUM(X179:AI179)</f>
        <v>7787096.9799999995</v>
      </c>
      <c r="BG179" s="19">
        <f>SUM(AJ179:BC179)</f>
        <v>16926119.510000002</v>
      </c>
    </row>
    <row r="180" spans="2:59"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row>
    <row r="181" spans="2:59"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row>
    <row r="182" spans="2:59"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row>
    <row r="183" spans="2:59" ht="15" x14ac:dyDescent="0.25">
      <c r="D183" s="79" t="s">
        <v>217</v>
      </c>
      <c r="E183" s="145">
        <f>E5-E88</f>
        <v>1508805.74</v>
      </c>
      <c r="F183" s="145">
        <f t="shared" ref="F183:BG183" si="114">F5-F88</f>
        <v>65959.149999999994</v>
      </c>
      <c r="G183" s="145">
        <f t="shared" si="114"/>
        <v>39456.93</v>
      </c>
      <c r="H183" s="145">
        <f t="shared" si="114"/>
        <v>41883.599999999999</v>
      </c>
      <c r="I183" s="145">
        <f t="shared" si="114"/>
        <v>5721379.6399999997</v>
      </c>
      <c r="J183" s="145">
        <f t="shared" si="114"/>
        <v>866976.8</v>
      </c>
      <c r="K183" s="145">
        <f t="shared" si="114"/>
        <v>1491651.07</v>
      </c>
      <c r="L183" s="145">
        <f t="shared" si="114"/>
        <v>11201579.889999999</v>
      </c>
      <c r="M183" s="145">
        <f t="shared" si="114"/>
        <v>682845.09999999963</v>
      </c>
      <c r="N183" s="145">
        <f t="shared" si="114"/>
        <v>41267.75</v>
      </c>
      <c r="O183" s="145">
        <f t="shared" si="114"/>
        <v>3330656.419999999</v>
      </c>
      <c r="P183" s="145">
        <f t="shared" si="114"/>
        <v>81241.62000000001</v>
      </c>
      <c r="Q183" s="145">
        <f t="shared" si="114"/>
        <v>26121.05</v>
      </c>
      <c r="R183" s="145">
        <f t="shared" si="114"/>
        <v>445739.03</v>
      </c>
      <c r="S183" s="145">
        <f t="shared" si="114"/>
        <v>18747.150000000001</v>
      </c>
      <c r="T183" s="145">
        <f t="shared" si="114"/>
        <v>33674.75</v>
      </c>
      <c r="U183" s="145">
        <f t="shared" si="114"/>
        <v>98779.16</v>
      </c>
      <c r="V183" s="145">
        <f t="shared" si="114"/>
        <v>13524.55</v>
      </c>
      <c r="W183" s="145">
        <f t="shared" si="114"/>
        <v>1163413.3800000001</v>
      </c>
      <c r="X183" s="145">
        <f t="shared" si="114"/>
        <v>85627.799999999988</v>
      </c>
      <c r="Y183" s="145">
        <f t="shared" si="114"/>
        <v>352557.65</v>
      </c>
      <c r="Z183" s="145">
        <f t="shared" si="114"/>
        <v>1561611.65</v>
      </c>
      <c r="AA183" s="145">
        <f t="shared" si="114"/>
        <v>-68524.050000000017</v>
      </c>
      <c r="AB183" s="145">
        <f t="shared" si="114"/>
        <v>85578.1</v>
      </c>
      <c r="AC183" s="145">
        <f t="shared" si="114"/>
        <v>215265.96999999997</v>
      </c>
      <c r="AD183" s="145">
        <f t="shared" si="114"/>
        <v>184251.40000000002</v>
      </c>
      <c r="AE183" s="145">
        <f t="shared" si="114"/>
        <v>124541.95000000001</v>
      </c>
      <c r="AF183" s="145">
        <f t="shared" si="114"/>
        <v>2068126.7599999998</v>
      </c>
      <c r="AG183" s="145">
        <f t="shared" si="114"/>
        <v>722115.59000000008</v>
      </c>
      <c r="AH183" s="145">
        <f t="shared" si="114"/>
        <v>224564.91</v>
      </c>
      <c r="AI183" s="145">
        <f t="shared" si="114"/>
        <v>277018.05000000005</v>
      </c>
      <c r="AJ183" s="145">
        <f t="shared" si="114"/>
        <v>583594.04999999993</v>
      </c>
      <c r="AK183" s="145">
        <f t="shared" si="114"/>
        <v>49521.5</v>
      </c>
      <c r="AL183" s="145">
        <f t="shared" si="114"/>
        <v>1161246.8700000001</v>
      </c>
      <c r="AM183" s="145">
        <f t="shared" si="114"/>
        <v>29611.8</v>
      </c>
      <c r="AN183" s="145">
        <f t="shared" si="114"/>
        <v>1155531.9999999998</v>
      </c>
      <c r="AO183" s="145">
        <f t="shared" si="114"/>
        <v>94040.65</v>
      </c>
      <c r="AP183" s="145">
        <f t="shared" si="114"/>
        <v>604605.81999999995</v>
      </c>
      <c r="AQ183" s="145">
        <f t="shared" si="114"/>
        <v>-321542.34999999986</v>
      </c>
      <c r="AR183" s="145">
        <f t="shared" si="114"/>
        <v>354466.1</v>
      </c>
      <c r="AS183" s="145">
        <f t="shared" si="114"/>
        <v>205739.55000000002</v>
      </c>
      <c r="AT183" s="145">
        <f t="shared" si="114"/>
        <v>307820.15000000002</v>
      </c>
      <c r="AU183" s="145">
        <f t="shared" si="114"/>
        <v>2361274.0500000003</v>
      </c>
      <c r="AV183" s="145">
        <f t="shared" si="114"/>
        <v>418612.26</v>
      </c>
      <c r="AW183" s="145">
        <f t="shared" si="114"/>
        <v>105702.05</v>
      </c>
      <c r="AX183" s="145">
        <f t="shared" si="114"/>
        <v>55879.7</v>
      </c>
      <c r="AY183" s="145">
        <f t="shared" si="114"/>
        <v>655099.80000000005</v>
      </c>
      <c r="AZ183" s="145">
        <f t="shared" si="114"/>
        <v>330552.98</v>
      </c>
      <c r="BA183" s="145">
        <f t="shared" si="114"/>
        <v>313907.15000000002</v>
      </c>
      <c r="BB183" s="145">
        <f t="shared" si="114"/>
        <v>4082311.36</v>
      </c>
      <c r="BC183" s="145">
        <f t="shared" si="114"/>
        <v>530179.6</v>
      </c>
      <c r="BD183" s="145">
        <f t="shared" si="114"/>
        <v>45784593.650000006</v>
      </c>
      <c r="BE183" s="145">
        <f t="shared" si="114"/>
        <v>26873702.780000005</v>
      </c>
      <c r="BF183" s="145">
        <f t="shared" si="114"/>
        <v>5832735.7800000003</v>
      </c>
      <c r="BG183" s="145">
        <f t="shared" si="114"/>
        <v>13078155.090000002</v>
      </c>
    </row>
    <row r="185" spans="2:59"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2" t="s">
        <v>868</v>
      </c>
      <c r="B1" s="7"/>
      <c r="C1" s="7"/>
      <c r="D1" s="7"/>
    </row>
    <row r="3" spans="1:5" ht="15" thickBot="1" x14ac:dyDescent="0.25">
      <c r="D3" s="86" t="s">
        <v>581</v>
      </c>
    </row>
    <row r="4" spans="1:5" ht="15.75" thickBot="1" x14ac:dyDescent="0.3">
      <c r="A4" s="8" t="s">
        <v>621</v>
      </c>
      <c r="D4" s="92" t="s">
        <v>55</v>
      </c>
    </row>
    <row r="7" spans="1:5" ht="20.25" x14ac:dyDescent="0.3">
      <c r="A7" s="141">
        <v>5</v>
      </c>
      <c r="B7" s="141"/>
      <c r="C7" s="141"/>
      <c r="D7" s="141" t="s">
        <v>189</v>
      </c>
      <c r="E7" s="146">
        <f>HLOOKUP($D$4,'6.1 Investissements'!$E$4:$BC$186,2,0)</f>
        <v>1771946.56</v>
      </c>
    </row>
    <row r="8" spans="1:5" ht="15" x14ac:dyDescent="0.25">
      <c r="A8" s="16"/>
      <c r="B8" s="85">
        <v>50</v>
      </c>
      <c r="C8" s="85"/>
      <c r="D8" s="85" t="s">
        <v>448</v>
      </c>
      <c r="E8" s="107">
        <f>SUM(E9:E16)</f>
        <v>1749324.06</v>
      </c>
    </row>
    <row r="9" spans="1:5" x14ac:dyDescent="0.2">
      <c r="C9" s="8">
        <v>500</v>
      </c>
      <c r="D9" s="8" t="s">
        <v>450</v>
      </c>
      <c r="E9" s="13">
        <f>HLOOKUP($D$4,'6.1 Investissements'!$E$4:$BC$186,4,0)</f>
        <v>0</v>
      </c>
    </row>
    <row r="10" spans="1:5" x14ac:dyDescent="0.2">
      <c r="C10" s="8">
        <v>501</v>
      </c>
      <c r="D10" s="8" t="s">
        <v>451</v>
      </c>
      <c r="E10" s="13">
        <f>HLOOKUP($D$4,'6.1 Investissements'!$E$4:$BC$186,5,0)</f>
        <v>922494.6</v>
      </c>
    </row>
    <row r="11" spans="1:5" x14ac:dyDescent="0.2">
      <c r="C11" s="8">
        <v>502</v>
      </c>
      <c r="D11" s="8" t="s">
        <v>452</v>
      </c>
      <c r="E11" s="13">
        <f>HLOOKUP($D$4,'6.1 Investissements'!$E$4:$BC$186,6,0)</f>
        <v>0</v>
      </c>
    </row>
    <row r="12" spans="1:5" x14ac:dyDescent="0.2">
      <c r="C12" s="8">
        <v>503</v>
      </c>
      <c r="D12" s="8" t="s">
        <v>453</v>
      </c>
      <c r="E12" s="13">
        <f>HLOOKUP($D$4,'6.1 Investissements'!$E$4:$BC$186,7,0)</f>
        <v>805544.11</v>
      </c>
    </row>
    <row r="13" spans="1:5" x14ac:dyDescent="0.2">
      <c r="C13" s="8">
        <v>504</v>
      </c>
      <c r="D13" s="8" t="s">
        <v>454</v>
      </c>
      <c r="E13" s="13">
        <f>HLOOKUP($D$4,'6.1 Investissements'!$E$4:$BC$186,8,0)</f>
        <v>21285.35</v>
      </c>
    </row>
    <row r="14" spans="1:5" x14ac:dyDescent="0.2">
      <c r="C14" s="8">
        <v>505</v>
      </c>
      <c r="D14" s="8" t="s">
        <v>455</v>
      </c>
      <c r="E14" s="13">
        <f>HLOOKUP($D$4,'6.1 Investissements'!$E$4:$BC$186,9,0)</f>
        <v>0</v>
      </c>
    </row>
    <row r="15" spans="1:5" x14ac:dyDescent="0.2">
      <c r="C15" s="8">
        <v>506</v>
      </c>
      <c r="D15" s="8" t="s">
        <v>456</v>
      </c>
      <c r="E15" s="13">
        <f>HLOOKUP($D$4,'6.1 Investissements'!$E$4:$BC$186,10,0)</f>
        <v>0</v>
      </c>
    </row>
    <row r="16" spans="1:5" x14ac:dyDescent="0.2">
      <c r="C16" s="8">
        <v>509</v>
      </c>
      <c r="D16" s="8" t="s">
        <v>457</v>
      </c>
      <c r="E16" s="13">
        <f>HLOOKUP($D$4,'6.1 Investissements'!$E$4:$BC$186,11,0)</f>
        <v>0</v>
      </c>
    </row>
    <row r="18" spans="2:5" ht="15" x14ac:dyDescent="0.25">
      <c r="B18" s="85">
        <v>51</v>
      </c>
      <c r="C18" s="85"/>
      <c r="D18" s="85" t="s">
        <v>449</v>
      </c>
      <c r="E18" s="107">
        <f>SUM(E19:E26)</f>
        <v>0</v>
      </c>
    </row>
    <row r="19" spans="2:5" x14ac:dyDescent="0.2">
      <c r="C19" s="8">
        <v>510</v>
      </c>
      <c r="D19" s="8" t="s">
        <v>450</v>
      </c>
      <c r="E19" s="13">
        <f>HLOOKUP($D$4,'6.1 Investissements'!$E$4:$BC$186,14,0)</f>
        <v>0</v>
      </c>
    </row>
    <row r="20" spans="2:5" x14ac:dyDescent="0.2">
      <c r="C20" s="8">
        <v>511</v>
      </c>
      <c r="D20" s="8" t="s">
        <v>451</v>
      </c>
      <c r="E20" s="13">
        <f>HLOOKUP($D$4,'6.1 Investissements'!$E$4:$BC$186,15,0)</f>
        <v>0</v>
      </c>
    </row>
    <row r="21" spans="2:5" x14ac:dyDescent="0.2">
      <c r="C21" s="8">
        <v>512</v>
      </c>
      <c r="D21" s="8" t="s">
        <v>452</v>
      </c>
      <c r="E21" s="13">
        <f>HLOOKUP($D$4,'6.1 Investissements'!$E$4:$BC$186,16,0)</f>
        <v>0</v>
      </c>
    </row>
    <row r="22" spans="2:5" x14ac:dyDescent="0.2">
      <c r="C22" s="8">
        <v>513</v>
      </c>
      <c r="D22" s="8" t="s">
        <v>453</v>
      </c>
      <c r="E22" s="13">
        <f>HLOOKUP($D$4,'6.1 Investissements'!$E$4:$BC$186,17,0)</f>
        <v>0</v>
      </c>
    </row>
    <row r="23" spans="2:5" x14ac:dyDescent="0.2">
      <c r="C23" s="8">
        <v>514</v>
      </c>
      <c r="D23" s="8" t="s">
        <v>454</v>
      </c>
      <c r="E23" s="13">
        <f>HLOOKUP($D$4,'6.1 Investissements'!$E$4:$BC$186,18,0)</f>
        <v>0</v>
      </c>
    </row>
    <row r="24" spans="2:5" x14ac:dyDescent="0.2">
      <c r="C24" s="8">
        <v>515</v>
      </c>
      <c r="D24" s="8" t="s">
        <v>455</v>
      </c>
      <c r="E24" s="13">
        <f>HLOOKUP($D$4,'6.1 Investissements'!$E$4:$BC$186,19,0)</f>
        <v>0</v>
      </c>
    </row>
    <row r="25" spans="2:5" x14ac:dyDescent="0.2">
      <c r="C25" s="8">
        <v>516</v>
      </c>
      <c r="D25" s="8" t="s">
        <v>456</v>
      </c>
      <c r="E25" s="13">
        <f>HLOOKUP($D$4,'6.1 Investissements'!$E$4:$BC$186,20,0)</f>
        <v>0</v>
      </c>
    </row>
    <row r="26" spans="2:5" x14ac:dyDescent="0.2">
      <c r="C26" s="8">
        <v>519</v>
      </c>
      <c r="D26" s="8" t="s">
        <v>457</v>
      </c>
      <c r="E26" s="13">
        <f>HLOOKUP($D$4,'6.1 Investissements'!$E$4:$BC$186,21,0)</f>
        <v>0</v>
      </c>
    </row>
    <row r="28" spans="2:5" ht="15" x14ac:dyDescent="0.25">
      <c r="B28" s="85">
        <v>52</v>
      </c>
      <c r="C28" s="85"/>
      <c r="D28" s="85" t="s">
        <v>458</v>
      </c>
      <c r="E28" s="107">
        <f>SUM(E29:E31)</f>
        <v>22622.5</v>
      </c>
    </row>
    <row r="29" spans="2:5" x14ac:dyDescent="0.2">
      <c r="C29" s="8">
        <v>520</v>
      </c>
      <c r="D29" s="8" t="s">
        <v>360</v>
      </c>
      <c r="E29" s="13">
        <f>HLOOKUP($D$4,'6.1 Investissements'!$E$4:$BC$186,24,0)</f>
        <v>0</v>
      </c>
    </row>
    <row r="30" spans="2:5" x14ac:dyDescent="0.2">
      <c r="C30" s="8">
        <v>521</v>
      </c>
      <c r="D30" s="8" t="s">
        <v>361</v>
      </c>
      <c r="E30" s="13">
        <f>HLOOKUP($D$4,'6.1 Investissements'!$E$4:$BC$186,25,0)</f>
        <v>0</v>
      </c>
    </row>
    <row r="31" spans="2:5" x14ac:dyDescent="0.2">
      <c r="C31" s="8">
        <v>529</v>
      </c>
      <c r="D31" s="8" t="s">
        <v>459</v>
      </c>
      <c r="E31" s="13">
        <f>HLOOKUP($D$4,'6.1 Investissements'!$E$4:$BC$186,26,0)</f>
        <v>22622.5</v>
      </c>
    </row>
    <row r="33" spans="2:5" ht="15" x14ac:dyDescent="0.25">
      <c r="B33" s="85">
        <v>54</v>
      </c>
      <c r="C33" s="85"/>
      <c r="D33" s="85" t="s">
        <v>246</v>
      </c>
      <c r="E33" s="107">
        <f>SUM(E34:E42)</f>
        <v>0</v>
      </c>
    </row>
    <row r="34" spans="2:5" x14ac:dyDescent="0.2">
      <c r="C34" s="8">
        <v>540</v>
      </c>
      <c r="D34" s="8" t="s">
        <v>460</v>
      </c>
      <c r="E34" s="13">
        <f>HLOOKUP($D$4,'6.1 Investissements'!$E$4:$BC$186,29,0)</f>
        <v>0</v>
      </c>
    </row>
    <row r="35" spans="2:5" x14ac:dyDescent="0.2">
      <c r="C35" s="8">
        <v>541</v>
      </c>
      <c r="D35" s="8" t="s">
        <v>461</v>
      </c>
      <c r="E35" s="13">
        <f>HLOOKUP($D$4,'6.1 Investissements'!$E$4:$BC$186,30,0)</f>
        <v>0</v>
      </c>
    </row>
    <row r="36" spans="2:5" x14ac:dyDescent="0.2">
      <c r="C36" s="8">
        <v>542</v>
      </c>
      <c r="D36" s="8" t="s">
        <v>462</v>
      </c>
      <c r="E36" s="13">
        <f>HLOOKUP($D$4,'6.1 Investissements'!$E$4:$BC$186,31,0)</f>
        <v>0</v>
      </c>
    </row>
    <row r="37" spans="2:5" x14ac:dyDescent="0.2">
      <c r="C37" s="8">
        <v>543</v>
      </c>
      <c r="D37" s="8" t="s">
        <v>463</v>
      </c>
      <c r="E37" s="13">
        <f>HLOOKUP($D$4,'6.1 Investissements'!$E$4:$BC$186,32,0)</f>
        <v>0</v>
      </c>
    </row>
    <row r="38" spans="2:5" x14ac:dyDescent="0.2">
      <c r="C38" s="8">
        <v>544</v>
      </c>
      <c r="D38" s="8" t="s">
        <v>464</v>
      </c>
      <c r="E38" s="13">
        <f>HLOOKUP($D$4,'6.1 Investissements'!$E$4:$BC$186,33,0)</f>
        <v>0</v>
      </c>
    </row>
    <row r="39" spans="2:5" x14ac:dyDescent="0.2">
      <c r="C39" s="8">
        <v>545</v>
      </c>
      <c r="D39" s="8" t="s">
        <v>465</v>
      </c>
      <c r="E39" s="13">
        <f>HLOOKUP($D$4,'6.1 Investissements'!$E$4:$BC$186,34,0)</f>
        <v>0</v>
      </c>
    </row>
    <row r="40" spans="2:5" x14ac:dyDescent="0.2">
      <c r="C40" s="8">
        <v>546</v>
      </c>
      <c r="D40" s="8" t="s">
        <v>466</v>
      </c>
      <c r="E40" s="13">
        <f>HLOOKUP($D$4,'6.1 Investissements'!$E$4:$BC$186,35,0)</f>
        <v>0</v>
      </c>
    </row>
    <row r="41" spans="2:5" x14ac:dyDescent="0.2">
      <c r="C41" s="8">
        <v>547</v>
      </c>
      <c r="D41" s="8" t="s">
        <v>467</v>
      </c>
      <c r="E41" s="13">
        <f>HLOOKUP($D$4,'6.1 Investissements'!$E$4:$BC$186,36,0)</f>
        <v>0</v>
      </c>
    </row>
    <row r="42" spans="2:5" x14ac:dyDescent="0.2">
      <c r="C42" s="8">
        <v>548</v>
      </c>
      <c r="D42" s="8" t="s">
        <v>468</v>
      </c>
      <c r="E42" s="13">
        <f>HLOOKUP($D$4,'6.1 Investissements'!$E$4:$BC$186,37,0)</f>
        <v>0</v>
      </c>
    </row>
    <row r="44" spans="2:5" ht="15" x14ac:dyDescent="0.25">
      <c r="B44" s="85">
        <v>55</v>
      </c>
      <c r="C44" s="85"/>
      <c r="D44" s="85" t="s">
        <v>373</v>
      </c>
      <c r="E44" s="107">
        <f>SUM(E45:E53)</f>
        <v>0</v>
      </c>
    </row>
    <row r="45" spans="2:5" x14ac:dyDescent="0.2">
      <c r="C45" s="8">
        <v>550</v>
      </c>
      <c r="D45" s="8" t="s">
        <v>460</v>
      </c>
      <c r="E45" s="13">
        <f>HLOOKUP($D$4,'6.1 Investissements'!$E$4:$BC$186,40,0)</f>
        <v>0</v>
      </c>
    </row>
    <row r="46" spans="2:5" x14ac:dyDescent="0.2">
      <c r="C46" s="8">
        <v>551</v>
      </c>
      <c r="D46" s="8" t="s">
        <v>461</v>
      </c>
      <c r="E46" s="13">
        <f>HLOOKUP($D$4,'6.1 Investissements'!$E$4:$BC$186,41,0)</f>
        <v>0</v>
      </c>
    </row>
    <row r="47" spans="2:5" x14ac:dyDescent="0.2">
      <c r="C47" s="8">
        <v>552</v>
      </c>
      <c r="D47" s="8" t="s">
        <v>462</v>
      </c>
      <c r="E47" s="13">
        <f>HLOOKUP($D$4,'6.1 Investissements'!$E$4:$BC$186,42,0)</f>
        <v>0</v>
      </c>
    </row>
    <row r="48" spans="2:5" x14ac:dyDescent="0.2">
      <c r="C48" s="8">
        <v>553</v>
      </c>
      <c r="D48" s="8" t="s">
        <v>463</v>
      </c>
      <c r="E48" s="13">
        <f>HLOOKUP($D$4,'6.1 Investissements'!$E$4:$BC$186,43,0)</f>
        <v>0</v>
      </c>
    </row>
    <row r="49" spans="2:5" x14ac:dyDescent="0.2">
      <c r="C49" s="8">
        <v>554</v>
      </c>
      <c r="D49" s="8" t="s">
        <v>464</v>
      </c>
      <c r="E49" s="13">
        <f>HLOOKUP($D$4,'6.1 Investissements'!$E$4:$BC$186,44,0)</f>
        <v>0</v>
      </c>
    </row>
    <row r="50" spans="2:5" x14ac:dyDescent="0.2">
      <c r="C50" s="8">
        <v>555</v>
      </c>
      <c r="D50" s="8" t="s">
        <v>465</v>
      </c>
      <c r="E50" s="13">
        <f>HLOOKUP($D$4,'6.1 Investissements'!$E$4:$BC$186,45,0)</f>
        <v>0</v>
      </c>
    </row>
    <row r="51" spans="2:5" x14ac:dyDescent="0.2">
      <c r="C51" s="8">
        <v>556</v>
      </c>
      <c r="D51" s="8" t="s">
        <v>466</v>
      </c>
      <c r="E51" s="13">
        <f>HLOOKUP($D$4,'6.1 Investissements'!$E$4:$BC$186,46,0)</f>
        <v>0</v>
      </c>
    </row>
    <row r="52" spans="2:5" x14ac:dyDescent="0.2">
      <c r="C52" s="8">
        <v>557</v>
      </c>
      <c r="D52" s="8" t="s">
        <v>467</v>
      </c>
      <c r="E52" s="13">
        <f>HLOOKUP($D$4,'6.1 Investissements'!$E$4:$BC$186,47,0)</f>
        <v>0</v>
      </c>
    </row>
    <row r="53" spans="2:5" x14ac:dyDescent="0.2">
      <c r="C53" s="8">
        <v>558</v>
      </c>
      <c r="D53" s="8" t="s">
        <v>468</v>
      </c>
      <c r="E53" s="13">
        <f>HLOOKUP($D$4,'6.1 Investissements'!$E$4:$BC$186,48,0)</f>
        <v>0</v>
      </c>
    </row>
    <row r="55" spans="2:5" ht="15" x14ac:dyDescent="0.25">
      <c r="B55" s="85">
        <v>56</v>
      </c>
      <c r="C55" s="85"/>
      <c r="D55" s="85" t="s">
        <v>469</v>
      </c>
      <c r="E55" s="107">
        <f>SUM(E56:E64)</f>
        <v>0</v>
      </c>
    </row>
    <row r="56" spans="2:5" x14ac:dyDescent="0.2">
      <c r="C56" s="8">
        <v>560</v>
      </c>
      <c r="D56" s="8" t="s">
        <v>460</v>
      </c>
      <c r="E56" s="13">
        <f>HLOOKUP($D$4,'6.1 Investissements'!$E$4:$BC$186,51,0)</f>
        <v>0</v>
      </c>
    </row>
    <row r="57" spans="2:5" x14ac:dyDescent="0.2">
      <c r="C57" s="8">
        <v>561</v>
      </c>
      <c r="D57" s="8" t="s">
        <v>461</v>
      </c>
      <c r="E57" s="13">
        <f>HLOOKUP($D$4,'6.1 Investissements'!$E$4:$BC$186,52,0)</f>
        <v>0</v>
      </c>
    </row>
    <row r="58" spans="2:5" x14ac:dyDescent="0.2">
      <c r="C58" s="8">
        <v>562</v>
      </c>
      <c r="D58" s="8" t="s">
        <v>462</v>
      </c>
      <c r="E58" s="13">
        <f>HLOOKUP($D$4,'6.1 Investissements'!$E$4:$BC$186,53,0)</f>
        <v>0</v>
      </c>
    </row>
    <row r="59" spans="2:5" x14ac:dyDescent="0.2">
      <c r="C59" s="8">
        <v>563</v>
      </c>
      <c r="D59" s="8" t="s">
        <v>463</v>
      </c>
      <c r="E59" s="13">
        <f>HLOOKUP($D$4,'6.1 Investissements'!$E$4:$BC$186,54,0)</f>
        <v>0</v>
      </c>
    </row>
    <row r="60" spans="2:5" x14ac:dyDescent="0.2">
      <c r="C60" s="8">
        <v>564</v>
      </c>
      <c r="D60" s="8" t="s">
        <v>464</v>
      </c>
      <c r="E60" s="13">
        <f>HLOOKUP($D$4,'6.1 Investissements'!$E$4:$BC$186,55,0)</f>
        <v>0</v>
      </c>
    </row>
    <row r="61" spans="2:5" x14ac:dyDescent="0.2">
      <c r="C61" s="8">
        <v>565</v>
      </c>
      <c r="D61" s="8" t="s">
        <v>465</v>
      </c>
      <c r="E61" s="13">
        <f>HLOOKUP($D$4,'6.1 Investissements'!$E$4:$BC$186,56,0)</f>
        <v>0</v>
      </c>
    </row>
    <row r="62" spans="2:5" x14ac:dyDescent="0.2">
      <c r="C62" s="8">
        <v>566</v>
      </c>
      <c r="D62" s="8" t="s">
        <v>466</v>
      </c>
      <c r="E62" s="13">
        <f>HLOOKUP($D$4,'6.1 Investissements'!$E$4:$BC$186,57,0)</f>
        <v>0</v>
      </c>
    </row>
    <row r="63" spans="2:5" x14ac:dyDescent="0.2">
      <c r="C63" s="8">
        <v>567</v>
      </c>
      <c r="D63" s="8" t="s">
        <v>467</v>
      </c>
      <c r="E63" s="13">
        <f>HLOOKUP($D$4,'6.1 Investissements'!$E$4:$BC$186,58,0)</f>
        <v>0</v>
      </c>
    </row>
    <row r="64" spans="2:5" x14ac:dyDescent="0.2">
      <c r="C64" s="8">
        <v>568</v>
      </c>
      <c r="D64" s="8" t="s">
        <v>468</v>
      </c>
      <c r="E64" s="13">
        <f>HLOOKUP($D$4,'6.1 Investissements'!$E$4:$BC$186,59,0)</f>
        <v>0</v>
      </c>
    </row>
    <row r="66" spans="2:5" ht="15" x14ac:dyDescent="0.25">
      <c r="B66" s="85">
        <v>57</v>
      </c>
      <c r="C66" s="85"/>
      <c r="D66" s="85" t="s">
        <v>470</v>
      </c>
      <c r="E66" s="107">
        <f>SUM(E67:E75)</f>
        <v>0</v>
      </c>
    </row>
    <row r="67" spans="2:5" x14ac:dyDescent="0.2">
      <c r="C67" s="8">
        <v>570</v>
      </c>
      <c r="D67" s="8" t="s">
        <v>460</v>
      </c>
      <c r="E67" s="13">
        <f>HLOOKUP($D$4,'6.1 Investissements'!$E$4:$BC$186,62,0)</f>
        <v>0</v>
      </c>
    </row>
    <row r="68" spans="2:5" x14ac:dyDescent="0.2">
      <c r="C68" s="8">
        <v>571</v>
      </c>
      <c r="D68" s="8" t="s">
        <v>461</v>
      </c>
      <c r="E68" s="13">
        <f>HLOOKUP($D$4,'6.1 Investissements'!$E$4:$BC$186,63,0)</f>
        <v>0</v>
      </c>
    </row>
    <row r="69" spans="2:5" x14ac:dyDescent="0.2">
      <c r="C69" s="8">
        <v>572</v>
      </c>
      <c r="D69" s="8" t="s">
        <v>462</v>
      </c>
      <c r="E69" s="13">
        <f>HLOOKUP($D$4,'6.1 Investissements'!$E$4:$BC$186,64,0)</f>
        <v>0</v>
      </c>
    </row>
    <row r="70" spans="2:5" x14ac:dyDescent="0.2">
      <c r="C70" s="8">
        <v>573</v>
      </c>
      <c r="D70" s="8" t="s">
        <v>463</v>
      </c>
      <c r="E70" s="13">
        <f>HLOOKUP($D$4,'6.1 Investissements'!$E$4:$BC$186,65,0)</f>
        <v>0</v>
      </c>
    </row>
    <row r="71" spans="2:5" x14ac:dyDescent="0.2">
      <c r="C71" s="8">
        <v>574</v>
      </c>
      <c r="D71" s="8" t="s">
        <v>464</v>
      </c>
      <c r="E71" s="13">
        <f>HLOOKUP($D$4,'6.1 Investissements'!$E$4:$BC$186,66,0)</f>
        <v>0</v>
      </c>
    </row>
    <row r="72" spans="2:5" x14ac:dyDescent="0.2">
      <c r="C72" s="8">
        <v>575</v>
      </c>
      <c r="D72" s="8" t="s">
        <v>465</v>
      </c>
      <c r="E72" s="13">
        <f>HLOOKUP($D$4,'6.1 Investissements'!$E$4:$BC$186,67,0)</f>
        <v>0</v>
      </c>
    </row>
    <row r="73" spans="2:5" x14ac:dyDescent="0.2">
      <c r="C73" s="8">
        <v>576</v>
      </c>
      <c r="D73" s="8" t="s">
        <v>466</v>
      </c>
      <c r="E73" s="13">
        <f>HLOOKUP($D$4,'6.1 Investissements'!$E$4:$BC$186,68,0)</f>
        <v>0</v>
      </c>
    </row>
    <row r="74" spans="2:5" x14ac:dyDescent="0.2">
      <c r="C74" s="8">
        <v>577</v>
      </c>
      <c r="D74" s="8" t="s">
        <v>467</v>
      </c>
      <c r="E74" s="13">
        <f>HLOOKUP($D$4,'6.1 Investissements'!$E$4:$BC$186,69,0)</f>
        <v>0</v>
      </c>
    </row>
    <row r="75" spans="2:5" x14ac:dyDescent="0.2">
      <c r="C75" s="8">
        <v>578</v>
      </c>
      <c r="D75" s="8" t="s">
        <v>468</v>
      </c>
      <c r="E75" s="13">
        <f>HLOOKUP($D$4,'6.1 Investissements'!$E$4:$BC$186,70,0)</f>
        <v>0</v>
      </c>
    </row>
    <row r="77" spans="2:5" ht="15" x14ac:dyDescent="0.25">
      <c r="B77" s="85">
        <v>58</v>
      </c>
      <c r="C77" s="85"/>
      <c r="D77" s="85" t="s">
        <v>471</v>
      </c>
      <c r="E77" s="107">
        <f>SUM(E78:E83)</f>
        <v>0</v>
      </c>
    </row>
    <row r="78" spans="2:5" x14ac:dyDescent="0.2">
      <c r="C78" s="8">
        <v>580</v>
      </c>
      <c r="D78" s="8" t="s">
        <v>448</v>
      </c>
      <c r="E78" s="13">
        <f>HLOOKUP($D$4,'6.1 Investissements'!$E$4:$BC$186,73,0)</f>
        <v>0</v>
      </c>
    </row>
    <row r="79" spans="2:5" x14ac:dyDescent="0.2">
      <c r="C79" s="8">
        <v>582</v>
      </c>
      <c r="D79" s="8" t="s">
        <v>458</v>
      </c>
      <c r="E79" s="13">
        <f>HLOOKUP($D$4,'6.1 Investissements'!$E$4:$BC$186,74,0)</f>
        <v>0</v>
      </c>
    </row>
    <row r="80" spans="2:5" x14ac:dyDescent="0.2">
      <c r="C80" s="8">
        <v>584</v>
      </c>
      <c r="D80" s="8" t="s">
        <v>246</v>
      </c>
      <c r="E80" s="13">
        <f>HLOOKUP($D$4,'6.1 Investissements'!$E$4:$BC$186,75,0)</f>
        <v>0</v>
      </c>
    </row>
    <row r="81" spans="1:5" x14ac:dyDescent="0.2">
      <c r="C81" s="8">
        <v>585</v>
      </c>
      <c r="D81" s="8" t="s">
        <v>373</v>
      </c>
      <c r="E81" s="13">
        <f>HLOOKUP($D$4,'6.1 Investissements'!$E$4:$BC$186,76,0)</f>
        <v>0</v>
      </c>
    </row>
    <row r="82" spans="1:5" x14ac:dyDescent="0.2">
      <c r="C82" s="8">
        <v>586</v>
      </c>
      <c r="D82" s="8" t="s">
        <v>472</v>
      </c>
      <c r="E82" s="13">
        <f>HLOOKUP($D$4,'6.1 Investissements'!$E$4:$BC$186,77,0)</f>
        <v>0</v>
      </c>
    </row>
    <row r="83" spans="1:5" x14ac:dyDescent="0.2">
      <c r="C83" s="8">
        <v>589</v>
      </c>
      <c r="D83" s="8" t="s">
        <v>473</v>
      </c>
      <c r="E83" s="13">
        <f>HLOOKUP($D$4,'6.1 Investissements'!$E$4:$BC$186,78,0)</f>
        <v>0</v>
      </c>
    </row>
    <row r="85" spans="1:5" ht="15" x14ac:dyDescent="0.25">
      <c r="B85" s="85">
        <v>59</v>
      </c>
      <c r="C85" s="85"/>
      <c r="D85" s="85" t="s">
        <v>474</v>
      </c>
      <c r="E85" s="107">
        <f>SUM(E86)</f>
        <v>263140.82</v>
      </c>
    </row>
    <row r="86" spans="1:5" x14ac:dyDescent="0.2">
      <c r="C86" s="8">
        <v>590</v>
      </c>
      <c r="D86" s="8" t="s">
        <v>474</v>
      </c>
      <c r="E86" s="13">
        <f>HLOOKUP($D$4,'6.1 Investissements'!$E$4:$BC$186,81,0)</f>
        <v>263140.82</v>
      </c>
    </row>
    <row r="90" spans="1:5" ht="20.25" x14ac:dyDescent="0.3">
      <c r="A90" s="142">
        <v>6</v>
      </c>
      <c r="B90" s="142"/>
      <c r="C90" s="142"/>
      <c r="D90" s="142" t="s">
        <v>475</v>
      </c>
      <c r="E90" s="147">
        <f>HLOOKUP($D$4,'6.1 Investissements'!$E$4:$BC$186,85,0)</f>
        <v>263140.82</v>
      </c>
    </row>
    <row r="91" spans="1:5" ht="15" x14ac:dyDescent="0.25">
      <c r="A91" s="7"/>
      <c r="B91" s="143">
        <v>60</v>
      </c>
      <c r="C91" s="143"/>
      <c r="D91" s="143" t="s">
        <v>476</v>
      </c>
      <c r="E91" s="144">
        <f>SUM(E92:E99)</f>
        <v>96.9</v>
      </c>
    </row>
    <row r="92" spans="1:5" x14ac:dyDescent="0.2">
      <c r="C92" s="8">
        <v>600</v>
      </c>
      <c r="D92" s="8" t="s">
        <v>450</v>
      </c>
      <c r="E92" s="13">
        <f>HLOOKUP($D$4,'6.1 Investissements'!$E$4:$BC$186,87,0)</f>
        <v>0</v>
      </c>
    </row>
    <row r="93" spans="1:5" x14ac:dyDescent="0.2">
      <c r="C93" s="8">
        <v>601</v>
      </c>
      <c r="D93" s="8" t="s">
        <v>451</v>
      </c>
      <c r="E93" s="13">
        <f>HLOOKUP($D$4,'6.1 Investissements'!$E$4:$BC$186,88,0)</f>
        <v>0</v>
      </c>
    </row>
    <row r="94" spans="1:5" x14ac:dyDescent="0.2">
      <c r="C94" s="8">
        <v>602</v>
      </c>
      <c r="D94" s="8" t="s">
        <v>452</v>
      </c>
      <c r="E94" s="13">
        <f>HLOOKUP($D$4,'6.1 Investissements'!$E$4:$BC$186,89,0)</f>
        <v>0</v>
      </c>
    </row>
    <row r="95" spans="1:5" x14ac:dyDescent="0.2">
      <c r="C95" s="8">
        <v>603</v>
      </c>
      <c r="D95" s="8" t="s">
        <v>453</v>
      </c>
      <c r="E95" s="13">
        <f>HLOOKUP($D$4,'6.1 Investissements'!$E$4:$BC$186,90,0)</f>
        <v>0</v>
      </c>
    </row>
    <row r="96" spans="1:5" x14ac:dyDescent="0.2">
      <c r="C96" s="8">
        <v>604</v>
      </c>
      <c r="D96" s="8" t="s">
        <v>454</v>
      </c>
      <c r="E96" s="13">
        <f>HLOOKUP($D$4,'6.1 Investissements'!$E$4:$BC$186,91,0)</f>
        <v>96.9</v>
      </c>
    </row>
    <row r="97" spans="2:5" x14ac:dyDescent="0.2">
      <c r="C97" s="8">
        <v>605</v>
      </c>
      <c r="D97" s="8" t="s">
        <v>455</v>
      </c>
      <c r="E97" s="13">
        <f>HLOOKUP($D$4,'6.1 Investissements'!$E$4:$BC$186,92,0)</f>
        <v>0</v>
      </c>
    </row>
    <row r="98" spans="2:5" x14ac:dyDescent="0.2">
      <c r="C98" s="8">
        <v>606</v>
      </c>
      <c r="D98" s="8" t="s">
        <v>456</v>
      </c>
      <c r="E98" s="13">
        <f>HLOOKUP($D$4,'6.1 Investissements'!$E$4:$BC$186,93,0)</f>
        <v>0</v>
      </c>
    </row>
    <row r="99" spans="2:5" x14ac:dyDescent="0.2">
      <c r="C99" s="8">
        <v>609</v>
      </c>
      <c r="D99" s="8" t="s">
        <v>457</v>
      </c>
      <c r="E99" s="13">
        <f>HLOOKUP($D$4,'6.1 Investissements'!$E$4:$BC$186,94,0)</f>
        <v>0</v>
      </c>
    </row>
    <row r="101" spans="2:5" ht="15" x14ac:dyDescent="0.25">
      <c r="B101" s="143">
        <v>61</v>
      </c>
      <c r="C101" s="143"/>
      <c r="D101" s="143" t="s">
        <v>477</v>
      </c>
      <c r="E101" s="144">
        <f>SUM(E102:E109)</f>
        <v>0</v>
      </c>
    </row>
    <row r="102" spans="2:5" x14ac:dyDescent="0.2">
      <c r="C102" s="8">
        <v>610</v>
      </c>
      <c r="D102" s="8" t="s">
        <v>450</v>
      </c>
      <c r="E102" s="13">
        <f>HLOOKUP($D$4,'6.1 Investissements'!$E$4:$BC$186,97,0)</f>
        <v>0</v>
      </c>
    </row>
    <row r="103" spans="2:5" x14ac:dyDescent="0.2">
      <c r="C103" s="8">
        <v>611</v>
      </c>
      <c r="D103" s="8" t="s">
        <v>451</v>
      </c>
      <c r="E103" s="13">
        <f>HLOOKUP($D$4,'6.1 Investissements'!$E$4:$BC$186,98,0)</f>
        <v>0</v>
      </c>
    </row>
    <row r="104" spans="2:5" x14ac:dyDescent="0.2">
      <c r="C104" s="8">
        <v>612</v>
      </c>
      <c r="D104" s="8" t="s">
        <v>452</v>
      </c>
      <c r="E104" s="13">
        <f>HLOOKUP($D$4,'6.1 Investissements'!$E$4:$BC$186,99,0)</f>
        <v>0</v>
      </c>
    </row>
    <row r="105" spans="2:5" x14ac:dyDescent="0.2">
      <c r="C105" s="8">
        <v>613</v>
      </c>
      <c r="D105" s="8" t="s">
        <v>453</v>
      </c>
      <c r="E105" s="13">
        <f>HLOOKUP($D$4,'6.1 Investissements'!$E$4:$BC$186,100,0)</f>
        <v>0</v>
      </c>
    </row>
    <row r="106" spans="2:5" x14ac:dyDescent="0.2">
      <c r="C106" s="8">
        <v>614</v>
      </c>
      <c r="D106" s="8" t="s">
        <v>454</v>
      </c>
      <c r="E106" s="13">
        <f>HLOOKUP($D$4,'6.1 Investissements'!$E$4:$BC$186,101,0)</f>
        <v>0</v>
      </c>
    </row>
    <row r="107" spans="2:5" x14ac:dyDescent="0.2">
      <c r="C107" s="8">
        <v>615</v>
      </c>
      <c r="D107" s="8" t="s">
        <v>455</v>
      </c>
      <c r="E107" s="13">
        <f>HLOOKUP($D$4,'6.1 Investissements'!$E$4:$BC$186,102,0)</f>
        <v>0</v>
      </c>
    </row>
    <row r="108" spans="2:5" x14ac:dyDescent="0.2">
      <c r="C108" s="8">
        <v>616</v>
      </c>
      <c r="D108" s="8" t="s">
        <v>456</v>
      </c>
      <c r="E108" s="13">
        <f>HLOOKUP($D$4,'6.1 Investissements'!$E$4:$BC$186,103,0)</f>
        <v>0</v>
      </c>
    </row>
    <row r="109" spans="2:5" x14ac:dyDescent="0.2">
      <c r="C109" s="8">
        <v>619</v>
      </c>
      <c r="D109" s="8" t="s">
        <v>457</v>
      </c>
      <c r="E109" s="13">
        <f>HLOOKUP($D$4,'6.1 Investissements'!$E$4:$BC$186,104,0)</f>
        <v>0</v>
      </c>
    </row>
    <row r="111" spans="2:5" ht="15" x14ac:dyDescent="0.25">
      <c r="B111" s="143">
        <v>62</v>
      </c>
      <c r="C111" s="143"/>
      <c r="D111" s="143" t="s">
        <v>478</v>
      </c>
      <c r="E111" s="144">
        <f>SUM(E112:E114)</f>
        <v>0</v>
      </c>
    </row>
    <row r="112" spans="2:5" x14ac:dyDescent="0.2">
      <c r="C112" s="8">
        <v>620</v>
      </c>
      <c r="D112" s="8" t="s">
        <v>360</v>
      </c>
      <c r="E112" s="13">
        <f>HLOOKUP($D$4,'6.1 Investissements'!$E$4:$BC$186,107,0)</f>
        <v>0</v>
      </c>
    </row>
    <row r="113" spans="2:5" x14ac:dyDescent="0.2">
      <c r="C113" s="8">
        <v>621</v>
      </c>
      <c r="D113" s="8" t="s">
        <v>361</v>
      </c>
      <c r="E113" s="13">
        <f>HLOOKUP($D$4,'6.1 Investissements'!$E$4:$BC$186,108,0)</f>
        <v>0</v>
      </c>
    </row>
    <row r="114" spans="2:5" x14ac:dyDescent="0.2">
      <c r="C114" s="8">
        <v>629</v>
      </c>
      <c r="D114" s="8" t="s">
        <v>459</v>
      </c>
      <c r="E114" s="13">
        <f>HLOOKUP($D$4,'6.1 Investissements'!$E$4:$BC$186,109,0)</f>
        <v>0</v>
      </c>
    </row>
    <row r="116" spans="2:5" ht="15" x14ac:dyDescent="0.25">
      <c r="B116" s="143">
        <v>63</v>
      </c>
      <c r="C116" s="143"/>
      <c r="D116" s="143" t="s">
        <v>479</v>
      </c>
      <c r="E116" s="144">
        <f>SUM(E117:E125)</f>
        <v>263043.92</v>
      </c>
    </row>
    <row r="117" spans="2:5" x14ac:dyDescent="0.2">
      <c r="C117" s="8">
        <v>630</v>
      </c>
      <c r="D117" s="8" t="s">
        <v>460</v>
      </c>
      <c r="E117" s="13">
        <f>HLOOKUP($D$4,'6.1 Investissements'!$E$4:$BC$186,112,0)</f>
        <v>0</v>
      </c>
    </row>
    <row r="118" spans="2:5" x14ac:dyDescent="0.2">
      <c r="C118" s="8">
        <v>631</v>
      </c>
      <c r="D118" s="8" t="s">
        <v>461</v>
      </c>
      <c r="E118" s="13">
        <f>HLOOKUP($D$4,'6.1 Investissements'!$E$4:$BC$186,113,0)</f>
        <v>0</v>
      </c>
    </row>
    <row r="119" spans="2:5" x14ac:dyDescent="0.2">
      <c r="C119" s="8">
        <v>632</v>
      </c>
      <c r="D119" s="8" t="s">
        <v>462</v>
      </c>
      <c r="E119" s="13">
        <f>HLOOKUP($D$4,'6.1 Investissements'!$E$4:$BC$186,114,0)</f>
        <v>0</v>
      </c>
    </row>
    <row r="120" spans="2:5" x14ac:dyDescent="0.2">
      <c r="C120" s="8">
        <v>633</v>
      </c>
      <c r="D120" s="8" t="s">
        <v>463</v>
      </c>
      <c r="E120" s="13">
        <f>HLOOKUP($D$4,'6.1 Investissements'!$E$4:$BC$186,115,0)</f>
        <v>263043.92</v>
      </c>
    </row>
    <row r="121" spans="2:5" x14ac:dyDescent="0.2">
      <c r="C121" s="8">
        <v>634</v>
      </c>
      <c r="D121" s="8" t="s">
        <v>464</v>
      </c>
      <c r="E121" s="13">
        <f>HLOOKUP($D$4,'6.1 Investissements'!$E$4:$BC$186,116,0)</f>
        <v>0</v>
      </c>
    </row>
    <row r="122" spans="2:5" x14ac:dyDescent="0.2">
      <c r="C122" s="8">
        <v>635</v>
      </c>
      <c r="D122" s="8" t="s">
        <v>465</v>
      </c>
      <c r="E122" s="13">
        <f>HLOOKUP($D$4,'6.1 Investissements'!$E$4:$BC$186,117,0)</f>
        <v>0</v>
      </c>
    </row>
    <row r="123" spans="2:5" x14ac:dyDescent="0.2">
      <c r="C123" s="8">
        <v>636</v>
      </c>
      <c r="D123" s="8" t="s">
        <v>466</v>
      </c>
      <c r="E123" s="13">
        <f>HLOOKUP($D$4,'6.1 Investissements'!$E$4:$BC$186,118,0)</f>
        <v>0</v>
      </c>
    </row>
    <row r="124" spans="2:5" x14ac:dyDescent="0.2">
      <c r="C124" s="8">
        <v>637</v>
      </c>
      <c r="D124" s="8" t="s">
        <v>467</v>
      </c>
      <c r="E124" s="13">
        <f>HLOOKUP($D$4,'6.1 Investissements'!$E$4:$BC$186,119,0)</f>
        <v>0</v>
      </c>
    </row>
    <row r="125" spans="2:5" x14ac:dyDescent="0.2">
      <c r="C125" s="8">
        <v>638</v>
      </c>
      <c r="D125" s="8" t="s">
        <v>468</v>
      </c>
      <c r="E125" s="13">
        <f>HLOOKUP($D$4,'6.1 Investissements'!$E$4:$BC$186,120,0)</f>
        <v>0</v>
      </c>
    </row>
    <row r="127" spans="2:5" ht="15" x14ac:dyDescent="0.25">
      <c r="B127" s="143">
        <v>64</v>
      </c>
      <c r="C127" s="143"/>
      <c r="D127" s="143" t="s">
        <v>480</v>
      </c>
      <c r="E127" s="144">
        <f>SUM(E128:E136)</f>
        <v>0</v>
      </c>
    </row>
    <row r="128" spans="2:5" x14ac:dyDescent="0.2">
      <c r="C128" s="8">
        <v>640</v>
      </c>
      <c r="D128" s="8" t="s">
        <v>460</v>
      </c>
      <c r="E128" s="13">
        <f>HLOOKUP($D$4,'6.1 Investissements'!$E$4:$BC$186,123,0)</f>
        <v>0</v>
      </c>
    </row>
    <row r="129" spans="2:5" x14ac:dyDescent="0.2">
      <c r="C129" s="8">
        <v>641</v>
      </c>
      <c r="D129" s="8" t="s">
        <v>461</v>
      </c>
      <c r="E129" s="13">
        <f>HLOOKUP($D$4,'6.1 Investissements'!$E$4:$BC$186,124,0)</f>
        <v>0</v>
      </c>
    </row>
    <row r="130" spans="2:5" x14ac:dyDescent="0.2">
      <c r="C130" s="8">
        <v>642</v>
      </c>
      <c r="D130" s="8" t="s">
        <v>462</v>
      </c>
      <c r="E130" s="13">
        <f>HLOOKUP($D$4,'6.1 Investissements'!$E$4:$BC$186,125,0)</f>
        <v>0</v>
      </c>
    </row>
    <row r="131" spans="2:5" x14ac:dyDescent="0.2">
      <c r="C131" s="8">
        <v>643</v>
      </c>
      <c r="D131" s="8" t="s">
        <v>463</v>
      </c>
      <c r="E131" s="13">
        <f>HLOOKUP($D$4,'6.1 Investissements'!$E$4:$BC$186,126,0)</f>
        <v>0</v>
      </c>
    </row>
    <row r="132" spans="2:5" x14ac:dyDescent="0.2">
      <c r="C132" s="8">
        <v>644</v>
      </c>
      <c r="D132" s="8" t="s">
        <v>464</v>
      </c>
      <c r="E132" s="13">
        <f>HLOOKUP($D$4,'6.1 Investissements'!$E$4:$BC$186,127,0)</f>
        <v>0</v>
      </c>
    </row>
    <row r="133" spans="2:5" x14ac:dyDescent="0.2">
      <c r="C133" s="8">
        <v>645</v>
      </c>
      <c r="D133" s="8" t="s">
        <v>465</v>
      </c>
      <c r="E133" s="13">
        <f>HLOOKUP($D$4,'6.1 Investissements'!$E$4:$BC$186,128,0)</f>
        <v>0</v>
      </c>
    </row>
    <row r="134" spans="2:5" x14ac:dyDescent="0.2">
      <c r="C134" s="8">
        <v>646</v>
      </c>
      <c r="D134" s="8" t="s">
        <v>466</v>
      </c>
      <c r="E134" s="13">
        <f>HLOOKUP($D$4,'6.1 Investissements'!$E$4:$BC$186,129,0)</f>
        <v>0</v>
      </c>
    </row>
    <row r="135" spans="2:5" x14ac:dyDescent="0.2">
      <c r="C135" s="8">
        <v>647</v>
      </c>
      <c r="D135" s="8" t="s">
        <v>467</v>
      </c>
      <c r="E135" s="13">
        <f>HLOOKUP($D$4,'6.1 Investissements'!$E$4:$BC$186,130,0)</f>
        <v>0</v>
      </c>
    </row>
    <row r="136" spans="2:5" x14ac:dyDescent="0.2">
      <c r="C136" s="8">
        <v>648</v>
      </c>
      <c r="D136" s="8" t="s">
        <v>468</v>
      </c>
      <c r="E136" s="13">
        <f>HLOOKUP($D$4,'6.1 Investissements'!$E$4:$BC$186,131,0)</f>
        <v>0</v>
      </c>
    </row>
    <row r="138" spans="2:5" ht="15" x14ac:dyDescent="0.25">
      <c r="B138" s="143">
        <v>65</v>
      </c>
      <c r="C138" s="143"/>
      <c r="D138" s="143" t="s">
        <v>481</v>
      </c>
      <c r="E138" s="144">
        <f>SUM(E139:E147)</f>
        <v>0</v>
      </c>
    </row>
    <row r="139" spans="2:5" x14ac:dyDescent="0.2">
      <c r="C139" s="8">
        <v>650</v>
      </c>
      <c r="D139" s="8" t="s">
        <v>460</v>
      </c>
      <c r="E139" s="13">
        <f>HLOOKUP($D$4,'6.1 Investissements'!$E$4:$BC$186,134,0)</f>
        <v>0</v>
      </c>
    </row>
    <row r="140" spans="2:5" x14ac:dyDescent="0.2">
      <c r="C140" s="8">
        <v>651</v>
      </c>
      <c r="D140" s="8" t="s">
        <v>461</v>
      </c>
      <c r="E140" s="13">
        <f>HLOOKUP($D$4,'6.1 Investissements'!$E$4:$BC$186,135,0)</f>
        <v>0</v>
      </c>
    </row>
    <row r="141" spans="2:5" x14ac:dyDescent="0.2">
      <c r="C141" s="8">
        <v>652</v>
      </c>
      <c r="D141" s="8" t="s">
        <v>462</v>
      </c>
      <c r="E141" s="13">
        <f>HLOOKUP($D$4,'6.1 Investissements'!$E$4:$BC$186,136,0)</f>
        <v>0</v>
      </c>
    </row>
    <row r="142" spans="2:5" x14ac:dyDescent="0.2">
      <c r="C142" s="8">
        <v>653</v>
      </c>
      <c r="D142" s="8" t="s">
        <v>463</v>
      </c>
      <c r="E142" s="13">
        <f>HLOOKUP($D$4,'6.1 Investissements'!$E$4:$BC$186,137,0)</f>
        <v>0</v>
      </c>
    </row>
    <row r="143" spans="2:5" x14ac:dyDescent="0.2">
      <c r="C143" s="8">
        <v>654</v>
      </c>
      <c r="D143" s="8" t="s">
        <v>464</v>
      </c>
      <c r="E143" s="13">
        <f>HLOOKUP($D$4,'6.1 Investissements'!$E$4:$BC$186,138,0)</f>
        <v>0</v>
      </c>
    </row>
    <row r="144" spans="2:5" x14ac:dyDescent="0.2">
      <c r="C144" s="8">
        <v>655</v>
      </c>
      <c r="D144" s="8" t="s">
        <v>465</v>
      </c>
      <c r="E144" s="13">
        <f>HLOOKUP($D$4,'6.1 Investissements'!$E$4:$BC$186,139,0)</f>
        <v>0</v>
      </c>
    </row>
    <row r="145" spans="2:5" x14ac:dyDescent="0.2">
      <c r="C145" s="8">
        <v>656</v>
      </c>
      <c r="D145" s="8" t="s">
        <v>466</v>
      </c>
      <c r="E145" s="13">
        <f>HLOOKUP($D$4,'6.1 Investissements'!$E$4:$BC$186,140,0)</f>
        <v>0</v>
      </c>
    </row>
    <row r="146" spans="2:5" x14ac:dyDescent="0.2">
      <c r="C146" s="8">
        <v>657</v>
      </c>
      <c r="D146" s="8" t="s">
        <v>467</v>
      </c>
      <c r="E146" s="13">
        <f>HLOOKUP($D$4,'6.1 Investissements'!$E$4:$BC$186,141,0)</f>
        <v>0</v>
      </c>
    </row>
    <row r="147" spans="2:5" x14ac:dyDescent="0.2">
      <c r="C147" s="8">
        <v>658</v>
      </c>
      <c r="D147" s="8" t="s">
        <v>468</v>
      </c>
      <c r="E147" s="13">
        <f>HLOOKUP($D$4,'6.1 Investissements'!$E$4:$BC$186,142,0)</f>
        <v>0</v>
      </c>
    </row>
    <row r="149" spans="2:5" ht="15" x14ac:dyDescent="0.25">
      <c r="B149" s="143">
        <v>66</v>
      </c>
      <c r="C149" s="143"/>
      <c r="D149" s="143" t="s">
        <v>482</v>
      </c>
      <c r="E149" s="144">
        <f>SUM(E150:E158)</f>
        <v>0</v>
      </c>
    </row>
    <row r="150" spans="2:5" x14ac:dyDescent="0.2">
      <c r="C150" s="8">
        <v>660</v>
      </c>
      <c r="D150" s="8" t="s">
        <v>460</v>
      </c>
      <c r="E150" s="13">
        <f>HLOOKUP($D$4,'6.1 Investissements'!$E$4:$BC$186,145,0)</f>
        <v>0</v>
      </c>
    </row>
    <row r="151" spans="2:5" x14ac:dyDescent="0.2">
      <c r="C151" s="8">
        <v>661</v>
      </c>
      <c r="D151" s="8" t="s">
        <v>461</v>
      </c>
      <c r="E151" s="13">
        <f>HLOOKUP($D$4,'6.1 Investissements'!$E$4:$BC$186,146,0)</f>
        <v>0</v>
      </c>
    </row>
    <row r="152" spans="2:5" x14ac:dyDescent="0.2">
      <c r="C152" s="8">
        <v>662</v>
      </c>
      <c r="D152" s="8" t="s">
        <v>462</v>
      </c>
      <c r="E152" s="13">
        <f>HLOOKUP($D$4,'6.1 Investissements'!$E$4:$BC$186,147,0)</f>
        <v>0</v>
      </c>
    </row>
    <row r="153" spans="2:5" x14ac:dyDescent="0.2">
      <c r="C153" s="8">
        <v>663</v>
      </c>
      <c r="D153" s="8" t="s">
        <v>463</v>
      </c>
      <c r="E153" s="13">
        <f>HLOOKUP($D$4,'6.1 Investissements'!$E$4:$BC$186,148,0)</f>
        <v>0</v>
      </c>
    </row>
    <row r="154" spans="2:5" x14ac:dyDescent="0.2">
      <c r="C154" s="8">
        <v>664</v>
      </c>
      <c r="D154" s="8" t="s">
        <v>464</v>
      </c>
      <c r="E154" s="13">
        <f>HLOOKUP($D$4,'6.1 Investissements'!$E$4:$BC$186,149,0)</f>
        <v>0</v>
      </c>
    </row>
    <row r="155" spans="2:5" x14ac:dyDescent="0.2">
      <c r="C155" s="8">
        <v>665</v>
      </c>
      <c r="D155" s="8" t="s">
        <v>465</v>
      </c>
      <c r="E155" s="13">
        <f>HLOOKUP($D$4,'6.1 Investissements'!$E$4:$BC$186,150,0)</f>
        <v>0</v>
      </c>
    </row>
    <row r="156" spans="2:5" x14ac:dyDescent="0.2">
      <c r="C156" s="8">
        <v>666</v>
      </c>
      <c r="D156" s="8" t="s">
        <v>466</v>
      </c>
      <c r="E156" s="13">
        <f>HLOOKUP($D$4,'6.1 Investissements'!$E$4:$BC$186,151,0)</f>
        <v>0</v>
      </c>
    </row>
    <row r="157" spans="2:5" x14ac:dyDescent="0.2">
      <c r="C157" s="8">
        <v>667</v>
      </c>
      <c r="D157" s="8" t="s">
        <v>467</v>
      </c>
      <c r="E157" s="13">
        <f>HLOOKUP($D$4,'6.1 Investissements'!$E$4:$BC$186,152,0)</f>
        <v>0</v>
      </c>
    </row>
    <row r="158" spans="2:5" x14ac:dyDescent="0.2">
      <c r="C158" s="8">
        <v>668</v>
      </c>
      <c r="D158" s="8" t="s">
        <v>468</v>
      </c>
      <c r="E158" s="13">
        <f>HLOOKUP($D$4,'6.1 Investissements'!$E$4:$BC$186,153,0)</f>
        <v>0</v>
      </c>
    </row>
    <row r="160" spans="2:5" ht="15" x14ac:dyDescent="0.25">
      <c r="B160" s="143">
        <v>67</v>
      </c>
      <c r="C160" s="143"/>
      <c r="D160" s="143" t="s">
        <v>470</v>
      </c>
      <c r="E160" s="144">
        <f>SUM(E161:E169)</f>
        <v>0</v>
      </c>
    </row>
    <row r="161" spans="2:5" x14ac:dyDescent="0.2">
      <c r="C161" s="8">
        <v>670</v>
      </c>
      <c r="D161" s="8" t="s">
        <v>460</v>
      </c>
      <c r="E161" s="13">
        <f>HLOOKUP($D$4,'6.1 Investissements'!$E$4:$BC$186,156,0)</f>
        <v>0</v>
      </c>
    </row>
    <row r="162" spans="2:5" x14ac:dyDescent="0.2">
      <c r="C162" s="8">
        <v>671</v>
      </c>
      <c r="D162" s="8" t="s">
        <v>461</v>
      </c>
      <c r="E162" s="13">
        <f>HLOOKUP($D$4,'6.1 Investissements'!$E$4:$BC$186,157,0)</f>
        <v>0</v>
      </c>
    </row>
    <row r="163" spans="2:5" x14ac:dyDescent="0.2">
      <c r="C163" s="8">
        <v>672</v>
      </c>
      <c r="D163" s="8" t="s">
        <v>462</v>
      </c>
      <c r="E163" s="13">
        <f>HLOOKUP($D$4,'6.1 Investissements'!$E$4:$BC$186,158,0)</f>
        <v>0</v>
      </c>
    </row>
    <row r="164" spans="2:5" x14ac:dyDescent="0.2">
      <c r="C164" s="8">
        <v>673</v>
      </c>
      <c r="D164" s="8" t="s">
        <v>463</v>
      </c>
      <c r="E164" s="13">
        <f>HLOOKUP($D$4,'6.1 Investissements'!$E$4:$BC$186,159,0)</f>
        <v>0</v>
      </c>
    </row>
    <row r="165" spans="2:5" x14ac:dyDescent="0.2">
      <c r="C165" s="8">
        <v>674</v>
      </c>
      <c r="D165" s="8" t="s">
        <v>464</v>
      </c>
      <c r="E165" s="13">
        <f>HLOOKUP($D$4,'6.1 Investissements'!$E$4:$BC$186,160,0)</f>
        <v>0</v>
      </c>
    </row>
    <row r="166" spans="2:5" x14ac:dyDescent="0.2">
      <c r="C166" s="8">
        <v>675</v>
      </c>
      <c r="D166" s="8" t="s">
        <v>465</v>
      </c>
      <c r="E166" s="13">
        <f>HLOOKUP($D$4,'6.1 Investissements'!$E$4:$BC$186,161,0)</f>
        <v>0</v>
      </c>
    </row>
    <row r="167" spans="2:5" x14ac:dyDescent="0.2">
      <c r="C167" s="8">
        <v>676</v>
      </c>
      <c r="D167" s="8" t="s">
        <v>466</v>
      </c>
      <c r="E167" s="13">
        <f>HLOOKUP($D$4,'6.1 Investissements'!$E$4:$BC$186,162,0)</f>
        <v>0</v>
      </c>
    </row>
    <row r="168" spans="2:5" x14ac:dyDescent="0.2">
      <c r="C168" s="8">
        <v>677</v>
      </c>
      <c r="D168" s="8" t="s">
        <v>467</v>
      </c>
      <c r="E168" s="13">
        <f>HLOOKUP($D$4,'6.1 Investissements'!$E$4:$BC$186,163,0)</f>
        <v>0</v>
      </c>
    </row>
    <row r="169" spans="2:5" x14ac:dyDescent="0.2">
      <c r="C169" s="8">
        <v>678</v>
      </c>
      <c r="D169" s="8" t="s">
        <v>468</v>
      </c>
      <c r="E169" s="13">
        <f>HLOOKUP($D$4,'6.1 Investissements'!$E$4:$BC$186,164,0)</f>
        <v>0</v>
      </c>
    </row>
    <row r="171" spans="2:5" ht="15" x14ac:dyDescent="0.25">
      <c r="B171" s="143">
        <v>68</v>
      </c>
      <c r="C171" s="143"/>
      <c r="D171" s="143" t="s">
        <v>483</v>
      </c>
      <c r="E171" s="148">
        <f>SUM(E172:E178)</f>
        <v>0</v>
      </c>
    </row>
    <row r="172" spans="2:5" x14ac:dyDescent="0.2">
      <c r="C172" s="8">
        <v>680</v>
      </c>
      <c r="D172" s="8" t="s">
        <v>448</v>
      </c>
      <c r="E172" s="13">
        <f>HLOOKUP($D$4,'6.1 Investissements'!$E$4:$BC$186,167,0)</f>
        <v>0</v>
      </c>
    </row>
    <row r="173" spans="2:5" x14ac:dyDescent="0.2">
      <c r="C173" s="8">
        <v>682</v>
      </c>
      <c r="D173" s="8" t="s">
        <v>458</v>
      </c>
      <c r="E173" s="13">
        <f>HLOOKUP($D$4,'6.1 Investissements'!$E$4:$BC$186,168,0)</f>
        <v>0</v>
      </c>
    </row>
    <row r="174" spans="2:5" x14ac:dyDescent="0.2">
      <c r="C174" s="8">
        <v>683</v>
      </c>
      <c r="D174" s="8" t="s">
        <v>484</v>
      </c>
      <c r="E174" s="13">
        <f>HLOOKUP($D$4,'6.1 Investissements'!$E$4:$BC$186,169,0)</f>
        <v>0</v>
      </c>
    </row>
    <row r="175" spans="2:5" x14ac:dyDescent="0.2">
      <c r="C175" s="8">
        <v>684</v>
      </c>
      <c r="D175" s="8" t="s">
        <v>246</v>
      </c>
      <c r="E175" s="13">
        <f>HLOOKUP($D$4,'6.1 Investissements'!$E$4:$BC$186,170,0)</f>
        <v>0</v>
      </c>
    </row>
    <row r="176" spans="2:5" x14ac:dyDescent="0.2">
      <c r="C176" s="8">
        <v>685</v>
      </c>
      <c r="D176" s="8" t="s">
        <v>373</v>
      </c>
      <c r="E176" s="13">
        <f>HLOOKUP($D$4,'6.1 Investissements'!$E$4:$BC$186,171,0)</f>
        <v>0</v>
      </c>
    </row>
    <row r="177" spans="2:5" x14ac:dyDescent="0.2">
      <c r="C177" s="8">
        <v>686</v>
      </c>
      <c r="D177" s="8" t="s">
        <v>485</v>
      </c>
      <c r="E177" s="13">
        <f>HLOOKUP($D$4,'6.1 Investissements'!$E$4:$BC$186,172,0)</f>
        <v>0</v>
      </c>
    </row>
    <row r="178" spans="2:5" x14ac:dyDescent="0.2">
      <c r="C178" s="8">
        <v>689</v>
      </c>
      <c r="D178" s="8" t="s">
        <v>486</v>
      </c>
      <c r="E178" s="13">
        <f>HLOOKUP($D$4,'6.1 Investissements'!$E$4:$BC$186,173,0)</f>
        <v>0</v>
      </c>
    </row>
    <row r="180" spans="2:5" ht="15" x14ac:dyDescent="0.25">
      <c r="B180" s="143">
        <v>69</v>
      </c>
      <c r="C180" s="143"/>
      <c r="D180" s="143" t="s">
        <v>487</v>
      </c>
      <c r="E180" s="144">
        <f>SUM(E181)</f>
        <v>1771946.56</v>
      </c>
    </row>
    <row r="181" spans="2:5" x14ac:dyDescent="0.2">
      <c r="C181" s="8">
        <v>690</v>
      </c>
      <c r="D181" s="8" t="s">
        <v>487</v>
      </c>
      <c r="E181" s="13">
        <f>HLOOKUP($D$4,'6.1 Investissements'!$E$4:$BC$186,176,0)</f>
        <v>1771946.56</v>
      </c>
    </row>
    <row r="185" spans="2:5" ht="18" x14ac:dyDescent="0.25">
      <c r="D185" s="149" t="s">
        <v>217</v>
      </c>
      <c r="E185" s="150">
        <f>HLOOKUP($D$4,'6.1 Investissements'!$E$4:$BC$186,180,0)</f>
        <v>1508805.74</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Investissements'!$E$4:$BC$4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3" sqref="A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1" t="s">
        <v>488</v>
      </c>
      <c r="B8" s="151"/>
      <c r="C8" s="151"/>
      <c r="D8" s="151"/>
      <c r="E8" s="151"/>
      <c r="F8" s="151"/>
      <c r="G8" s="151"/>
      <c r="H8" s="151"/>
    </row>
    <row r="10" spans="1:8" ht="15" x14ac:dyDescent="0.25">
      <c r="A10" s="134" t="s">
        <v>628</v>
      </c>
    </row>
    <row r="12" spans="1:8" ht="15" x14ac:dyDescent="0.25">
      <c r="A12" s="7" t="s">
        <v>489</v>
      </c>
    </row>
    <row r="14" spans="1:8" ht="90" customHeight="1" x14ac:dyDescent="0.2">
      <c r="A14" s="224" t="s">
        <v>629</v>
      </c>
      <c r="B14" s="225"/>
      <c r="C14" s="225"/>
      <c r="D14" s="225"/>
      <c r="E14" s="225"/>
      <c r="F14" s="225"/>
      <c r="G14" s="225"/>
      <c r="H14" s="226"/>
    </row>
    <row r="16" spans="1:8" x14ac:dyDescent="0.2">
      <c r="A16" s="66"/>
      <c r="B16" s="66" t="s">
        <v>630</v>
      </c>
      <c r="C16" s="66" t="s">
        <v>631</v>
      </c>
      <c r="D16" s="8" t="s">
        <v>632</v>
      </c>
    </row>
    <row r="17" spans="1:8" x14ac:dyDescent="0.2">
      <c r="C17" s="66" t="s">
        <v>633</v>
      </c>
      <c r="D17" s="8" t="s">
        <v>634</v>
      </c>
    </row>
    <row r="18" spans="1:8" x14ac:dyDescent="0.2">
      <c r="C18" s="66" t="s">
        <v>635</v>
      </c>
      <c r="D18" s="8" t="s">
        <v>636</v>
      </c>
    </row>
    <row r="19" spans="1:8" x14ac:dyDescent="0.2">
      <c r="C19" s="66" t="s">
        <v>637</v>
      </c>
      <c r="D19" s="8" t="s">
        <v>638</v>
      </c>
    </row>
    <row r="20" spans="1:8" x14ac:dyDescent="0.2">
      <c r="C20" s="66" t="s">
        <v>639</v>
      </c>
      <c r="D20" s="8" t="s">
        <v>640</v>
      </c>
    </row>
    <row r="22" spans="1:8" ht="15" x14ac:dyDescent="0.25">
      <c r="A22" s="7" t="s">
        <v>500</v>
      </c>
    </row>
    <row r="24" spans="1:8" ht="90" customHeight="1" x14ac:dyDescent="0.2">
      <c r="A24" s="224" t="s">
        <v>641</v>
      </c>
      <c r="B24" s="225"/>
      <c r="C24" s="225"/>
      <c r="D24" s="225"/>
      <c r="E24" s="225"/>
      <c r="F24" s="225"/>
      <c r="G24" s="225"/>
      <c r="H24" s="226"/>
    </row>
    <row r="26" spans="1:8" x14ac:dyDescent="0.2">
      <c r="A26" s="66"/>
      <c r="B26" s="66" t="s">
        <v>642</v>
      </c>
      <c r="C26" s="66" t="s">
        <v>816</v>
      </c>
      <c r="D26" s="8" t="s">
        <v>643</v>
      </c>
    </row>
    <row r="27" spans="1:8" x14ac:dyDescent="0.2">
      <c r="C27" s="66" t="s">
        <v>644</v>
      </c>
      <c r="D27" s="8" t="s">
        <v>645</v>
      </c>
    </row>
    <row r="28" spans="1:8" x14ac:dyDescent="0.2">
      <c r="C28" s="66" t="s">
        <v>646</v>
      </c>
      <c r="D28" s="8" t="s">
        <v>647</v>
      </c>
    </row>
    <row r="30" spans="1:8" ht="15" x14ac:dyDescent="0.25">
      <c r="A30" s="7" t="s">
        <v>559</v>
      </c>
    </row>
    <row r="32" spans="1:8" ht="90" customHeight="1" x14ac:dyDescent="0.2">
      <c r="A32" s="224" t="s">
        <v>648</v>
      </c>
      <c r="B32" s="225"/>
      <c r="C32" s="225"/>
      <c r="D32" s="225"/>
      <c r="E32" s="225"/>
      <c r="F32" s="225"/>
      <c r="G32" s="225"/>
      <c r="H32" s="226"/>
    </row>
    <row r="34" spans="1:8" x14ac:dyDescent="0.2">
      <c r="A34" s="66"/>
      <c r="B34" s="66" t="s">
        <v>642</v>
      </c>
      <c r="C34" s="66" t="s">
        <v>649</v>
      </c>
      <c r="D34" s="8" t="s">
        <v>650</v>
      </c>
    </row>
    <row r="35" spans="1:8" x14ac:dyDescent="0.2">
      <c r="C35" s="152" t="s">
        <v>651</v>
      </c>
      <c r="D35" s="8" t="s">
        <v>652</v>
      </c>
    </row>
    <row r="36" spans="1:8" x14ac:dyDescent="0.2">
      <c r="C36" s="66" t="s">
        <v>653</v>
      </c>
      <c r="D36" s="8" t="s">
        <v>654</v>
      </c>
    </row>
    <row r="37" spans="1:8" x14ac:dyDescent="0.2">
      <c r="C37" s="66" t="s">
        <v>655</v>
      </c>
      <c r="D37" s="8" t="s">
        <v>656</v>
      </c>
    </row>
    <row r="38" spans="1:8" x14ac:dyDescent="0.2">
      <c r="C38" s="66" t="s">
        <v>817</v>
      </c>
      <c r="D38" s="8" t="s">
        <v>657</v>
      </c>
    </row>
    <row r="40" spans="1:8" ht="15" x14ac:dyDescent="0.25">
      <c r="A40" s="7" t="s">
        <v>560</v>
      </c>
    </row>
    <row r="42" spans="1:8" ht="90" customHeight="1" x14ac:dyDescent="0.2">
      <c r="A42" s="224" t="s">
        <v>658</v>
      </c>
      <c r="B42" s="225"/>
      <c r="C42" s="225"/>
      <c r="D42" s="225"/>
      <c r="E42" s="225"/>
      <c r="F42" s="225"/>
      <c r="G42" s="225"/>
      <c r="H42" s="226"/>
    </row>
    <row r="44" spans="1:8" x14ac:dyDescent="0.2">
      <c r="A44" s="66"/>
      <c r="B44" s="66" t="s">
        <v>642</v>
      </c>
    </row>
    <row r="45" spans="1:8" x14ac:dyDescent="0.2">
      <c r="C45" s="66" t="s">
        <v>818</v>
      </c>
      <c r="D45" s="8" t="s">
        <v>659</v>
      </c>
    </row>
    <row r="46" spans="1:8" x14ac:dyDescent="0.2">
      <c r="C46" s="66" t="s">
        <v>660</v>
      </c>
      <c r="D46" s="8" t="s">
        <v>661</v>
      </c>
    </row>
    <row r="47" spans="1:8" x14ac:dyDescent="0.2">
      <c r="C47" s="66" t="s">
        <v>662</v>
      </c>
      <c r="D47" s="8" t="s">
        <v>663</v>
      </c>
    </row>
    <row r="48" spans="1:8" x14ac:dyDescent="0.2">
      <c r="C48" s="66" t="s">
        <v>664</v>
      </c>
      <c r="D48" s="8" t="s">
        <v>665</v>
      </c>
    </row>
    <row r="49" spans="1:8" x14ac:dyDescent="0.2">
      <c r="C49" s="66" t="s">
        <v>666</v>
      </c>
      <c r="D49" s="8" t="s">
        <v>667</v>
      </c>
    </row>
    <row r="51" spans="1:8" ht="15" x14ac:dyDescent="0.25">
      <c r="A51" s="7" t="s">
        <v>519</v>
      </c>
    </row>
    <row r="53" spans="1:8" ht="90" customHeight="1" x14ac:dyDescent="0.2">
      <c r="A53" s="224" t="s">
        <v>668</v>
      </c>
      <c r="B53" s="225"/>
      <c r="C53" s="225"/>
      <c r="D53" s="225"/>
      <c r="E53" s="225"/>
      <c r="F53" s="225"/>
      <c r="G53" s="225"/>
      <c r="H53" s="226"/>
    </row>
    <row r="55" spans="1:8" x14ac:dyDescent="0.2">
      <c r="A55" s="66"/>
      <c r="B55" s="66" t="s">
        <v>642</v>
      </c>
      <c r="C55" s="66" t="s">
        <v>819</v>
      </c>
      <c r="D55" s="8" t="s">
        <v>669</v>
      </c>
    </row>
    <row r="56" spans="1:8" x14ac:dyDescent="0.2">
      <c r="C56" s="66" t="s">
        <v>670</v>
      </c>
      <c r="D56" s="8" t="s">
        <v>671</v>
      </c>
    </row>
    <row r="57" spans="1:8" x14ac:dyDescent="0.2">
      <c r="C57" s="66" t="s">
        <v>672</v>
      </c>
      <c r="D57" s="8" t="s">
        <v>673</v>
      </c>
    </row>
    <row r="58" spans="1:8" x14ac:dyDescent="0.2">
      <c r="C58" s="66" t="s">
        <v>674</v>
      </c>
      <c r="D58" s="8" t="s">
        <v>675</v>
      </c>
    </row>
    <row r="60" spans="1:8" ht="15" x14ac:dyDescent="0.25">
      <c r="A60" s="7" t="s">
        <v>561</v>
      </c>
    </row>
    <row r="62" spans="1:8" ht="90" customHeight="1" x14ac:dyDescent="0.2">
      <c r="A62" s="224" t="s">
        <v>676</v>
      </c>
      <c r="B62" s="225"/>
      <c r="C62" s="225"/>
      <c r="D62" s="225"/>
      <c r="E62" s="225"/>
      <c r="F62" s="225"/>
      <c r="G62" s="225"/>
      <c r="H62" s="226"/>
    </row>
    <row r="64" spans="1:8" x14ac:dyDescent="0.2">
      <c r="A64" s="66"/>
      <c r="B64" s="66" t="s">
        <v>642</v>
      </c>
      <c r="C64" s="153" t="s">
        <v>677</v>
      </c>
      <c r="D64" s="8" t="s">
        <v>678</v>
      </c>
    </row>
    <row r="65" spans="1:8" x14ac:dyDescent="0.2">
      <c r="C65" s="66" t="s">
        <v>679</v>
      </c>
      <c r="D65" s="8" t="s">
        <v>680</v>
      </c>
    </row>
    <row r="66" spans="1:8" x14ac:dyDescent="0.2">
      <c r="C66" s="66" t="s">
        <v>681</v>
      </c>
      <c r="D66" s="8" t="s">
        <v>682</v>
      </c>
    </row>
    <row r="67" spans="1:8" x14ac:dyDescent="0.2">
      <c r="C67" s="66" t="s">
        <v>683</v>
      </c>
      <c r="D67" s="8" t="s">
        <v>684</v>
      </c>
    </row>
    <row r="69" spans="1:8" ht="15" x14ac:dyDescent="0.25">
      <c r="A69" s="7" t="s">
        <v>532</v>
      </c>
    </row>
    <row r="71" spans="1:8" ht="90" customHeight="1" x14ac:dyDescent="0.2">
      <c r="A71" s="224" t="s">
        <v>685</v>
      </c>
      <c r="B71" s="225"/>
      <c r="C71" s="225"/>
      <c r="D71" s="225"/>
      <c r="E71" s="225"/>
      <c r="F71" s="225"/>
      <c r="G71" s="225"/>
      <c r="H71" s="226"/>
    </row>
    <row r="73" spans="1:8" x14ac:dyDescent="0.2">
      <c r="A73" s="66"/>
      <c r="B73" s="66" t="s">
        <v>642</v>
      </c>
      <c r="C73" s="66" t="s">
        <v>686</v>
      </c>
      <c r="D73" s="8" t="s">
        <v>687</v>
      </c>
    </row>
    <row r="74" spans="1:8" x14ac:dyDescent="0.2">
      <c r="C74" s="66" t="s">
        <v>688</v>
      </c>
      <c r="D74" s="8" t="s">
        <v>689</v>
      </c>
    </row>
    <row r="75" spans="1:8" x14ac:dyDescent="0.2">
      <c r="C75" s="66" t="s">
        <v>690</v>
      </c>
      <c r="D75" s="8" t="s">
        <v>691</v>
      </c>
    </row>
    <row r="76" spans="1:8" x14ac:dyDescent="0.2">
      <c r="C76" s="66" t="s">
        <v>692</v>
      </c>
      <c r="D76" s="8" t="s">
        <v>693</v>
      </c>
    </row>
    <row r="77" spans="1:8" x14ac:dyDescent="0.2">
      <c r="C77" s="66" t="s">
        <v>694</v>
      </c>
      <c r="D77" s="8" t="s">
        <v>695</v>
      </c>
    </row>
    <row r="79" spans="1:8" ht="15" x14ac:dyDescent="0.25">
      <c r="A79" s="7" t="s">
        <v>696</v>
      </c>
    </row>
    <row r="81" spans="1:8" ht="90" customHeight="1" x14ac:dyDescent="0.2">
      <c r="A81" s="224" t="s">
        <v>697</v>
      </c>
      <c r="B81" s="225"/>
      <c r="C81" s="225"/>
      <c r="D81" s="225"/>
      <c r="E81" s="225"/>
      <c r="F81" s="225"/>
      <c r="G81" s="225"/>
      <c r="H81" s="226"/>
    </row>
    <row r="83" spans="1:8" x14ac:dyDescent="0.2">
      <c r="A83" s="66"/>
      <c r="B83" s="66" t="s">
        <v>642</v>
      </c>
      <c r="C83" s="66" t="s">
        <v>698</v>
      </c>
      <c r="D83" s="8" t="s">
        <v>699</v>
      </c>
    </row>
    <row r="84" spans="1:8" x14ac:dyDescent="0.2">
      <c r="C84" s="66" t="s">
        <v>700</v>
      </c>
      <c r="D84" s="8" t="s">
        <v>701</v>
      </c>
    </row>
    <row r="85" spans="1:8" x14ac:dyDescent="0.2">
      <c r="C85" s="66" t="s">
        <v>702</v>
      </c>
      <c r="D85" s="8" t="s">
        <v>703</v>
      </c>
    </row>
    <row r="87" spans="1:8" ht="15" x14ac:dyDescent="0.25">
      <c r="A87" s="7" t="s">
        <v>540</v>
      </c>
    </row>
    <row r="89" spans="1:8" ht="90" customHeight="1" x14ac:dyDescent="0.2">
      <c r="A89" s="224" t="s">
        <v>704</v>
      </c>
      <c r="B89" s="225"/>
      <c r="C89" s="225"/>
      <c r="D89" s="225"/>
      <c r="E89" s="225"/>
      <c r="F89" s="225"/>
      <c r="G89" s="225"/>
      <c r="H89" s="226"/>
    </row>
    <row r="91" spans="1:8" x14ac:dyDescent="0.2">
      <c r="A91" s="66"/>
      <c r="B91" s="66" t="s">
        <v>642</v>
      </c>
      <c r="C91" s="66" t="s">
        <v>705</v>
      </c>
      <c r="D91" s="8" t="s">
        <v>703</v>
      </c>
    </row>
    <row r="92" spans="1:8" x14ac:dyDescent="0.2">
      <c r="C92" s="66" t="s">
        <v>706</v>
      </c>
      <c r="D92" s="8" t="s">
        <v>701</v>
      </c>
    </row>
    <row r="93" spans="1:8" x14ac:dyDescent="0.2">
      <c r="C93" s="66" t="s">
        <v>707</v>
      </c>
      <c r="D93" s="8" t="s">
        <v>708</v>
      </c>
    </row>
    <row r="94" spans="1:8" x14ac:dyDescent="0.2">
      <c r="C94" s="66" t="s">
        <v>709</v>
      </c>
      <c r="D94" s="8" t="s">
        <v>710</v>
      </c>
    </row>
    <row r="96" spans="1:8" ht="15" x14ac:dyDescent="0.25">
      <c r="A96" s="7" t="s">
        <v>711</v>
      </c>
    </row>
    <row r="98" spans="1:8" ht="90" customHeight="1" x14ac:dyDescent="0.2">
      <c r="A98" s="224" t="s">
        <v>712</v>
      </c>
      <c r="B98" s="225"/>
      <c r="C98" s="225"/>
      <c r="D98" s="225"/>
      <c r="E98" s="225"/>
      <c r="F98" s="225"/>
      <c r="G98" s="225"/>
      <c r="H98" s="226"/>
    </row>
    <row r="100" spans="1:8" x14ac:dyDescent="0.2">
      <c r="A100" s="66"/>
      <c r="B100" s="66" t="s">
        <v>642</v>
      </c>
      <c r="C100" s="66" t="s">
        <v>820</v>
      </c>
      <c r="D100" s="8" t="s">
        <v>713</v>
      </c>
    </row>
    <row r="101" spans="1:8" x14ac:dyDescent="0.2">
      <c r="C101" s="66" t="s">
        <v>714</v>
      </c>
      <c r="D101" s="8" t="s">
        <v>663</v>
      </c>
    </row>
    <row r="102" spans="1:8" x14ac:dyDescent="0.2">
      <c r="C102" s="66" t="s">
        <v>715</v>
      </c>
      <c r="D102" s="8" t="s">
        <v>703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G61"/>
  <sheetViews>
    <sheetView workbookViewId="0">
      <pane xSplit="4" ySplit="4" topLeftCell="AO3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271</v>
      </c>
      <c r="B2" s="7"/>
      <c r="C2" s="7"/>
      <c r="D2" s="7"/>
    </row>
    <row r="3" spans="1:59" ht="15" x14ac:dyDescent="0.25">
      <c r="A3" s="7" t="s">
        <v>869</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1</v>
      </c>
      <c r="B5" s="11"/>
      <c r="C5" s="11"/>
      <c r="D5" s="11" t="s">
        <v>235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row>
    <row r="6" spans="1:59" x14ac:dyDescent="0.2">
      <c r="C6" s="8">
        <v>10</v>
      </c>
      <c r="D6" s="8" t="s">
        <v>236</v>
      </c>
      <c r="E6" s="19">
        <f>'5. Bilan 2023'!F6</f>
        <v>6225791.5600000005</v>
      </c>
      <c r="F6" s="19">
        <f>'5. Bilan 2023'!G6</f>
        <v>1129469.4399999999</v>
      </c>
      <c r="G6" s="19">
        <f>'5. Bilan 2023'!H6</f>
        <v>3364550.77</v>
      </c>
      <c r="H6" s="19">
        <f>'5. Bilan 2023'!I6</f>
        <v>4682127.29</v>
      </c>
      <c r="I6" s="19">
        <f>'5. Bilan 2023'!J6</f>
        <v>15956745.210000001</v>
      </c>
      <c r="J6" s="19">
        <f>'5. Bilan 2023'!K6</f>
        <v>8217890.5499999998</v>
      </c>
      <c r="K6" s="19">
        <f>'5. Bilan 2023'!L6</f>
        <v>11579657.029999999</v>
      </c>
      <c r="L6" s="19">
        <f>'5. Bilan 2023'!M6</f>
        <v>66151169.350000009</v>
      </c>
      <c r="M6" s="19">
        <f>'5. Bilan 2023'!N6</f>
        <v>3433954.1900000004</v>
      </c>
      <c r="N6" s="19">
        <f>'5. Bilan 2023'!O6</f>
        <v>283603.23</v>
      </c>
      <c r="O6" s="19">
        <f>'5. Bilan 2023'!P6</f>
        <v>17608235.700000003</v>
      </c>
      <c r="P6" s="19">
        <f>'5. Bilan 2023'!Q6</f>
        <v>2025637.3000000003</v>
      </c>
      <c r="Q6" s="19">
        <f>'5. Bilan 2023'!R6</f>
        <v>491072.38</v>
      </c>
      <c r="R6" s="19">
        <f>'5. Bilan 2023'!S6</f>
        <v>1747064.31</v>
      </c>
      <c r="S6" s="19">
        <f>'5. Bilan 2023'!T6</f>
        <v>2431056.4699999997</v>
      </c>
      <c r="T6" s="19">
        <f>'5. Bilan 2023'!U6</f>
        <v>6198806.75</v>
      </c>
      <c r="U6" s="19">
        <f>'5. Bilan 2023'!V6</f>
        <v>953442.88000000012</v>
      </c>
      <c r="V6" s="19">
        <f>'5. Bilan 2023'!W6</f>
        <v>1897127.15</v>
      </c>
      <c r="W6" s="19">
        <f>'5. Bilan 2023'!X6</f>
        <v>5433936.8800000008</v>
      </c>
      <c r="X6" s="19">
        <f>'5. Bilan 2023'!Y6</f>
        <v>1809164.1500000001</v>
      </c>
      <c r="Y6" s="19">
        <f>'5. Bilan 2023'!Z6</f>
        <v>3581573.01</v>
      </c>
      <c r="Z6" s="19">
        <f>'5. Bilan 2023'!AA6</f>
        <v>32224253.789999999</v>
      </c>
      <c r="AA6" s="19">
        <f>'5. Bilan 2023'!AB6</f>
        <v>1835143.9000000001</v>
      </c>
      <c r="AB6" s="19">
        <f>'5. Bilan 2023'!AC6</f>
        <v>2930503.5199999996</v>
      </c>
      <c r="AC6" s="19">
        <f>'5. Bilan 2023'!AD6</f>
        <v>2151210.0099999998</v>
      </c>
      <c r="AD6" s="19">
        <f>'5. Bilan 2023'!AE6</f>
        <v>2001684.5100000002</v>
      </c>
      <c r="AE6" s="19">
        <f>'5. Bilan 2023'!AF6</f>
        <v>3043874.2300000004</v>
      </c>
      <c r="AF6" s="19">
        <f>'5. Bilan 2023'!AG6</f>
        <v>8206868.8000000007</v>
      </c>
      <c r="AG6" s="19">
        <f>'5. Bilan 2023'!AH6</f>
        <v>11506428.15</v>
      </c>
      <c r="AH6" s="19">
        <f>'5. Bilan 2023'!AI6</f>
        <v>1849198.98</v>
      </c>
      <c r="AI6" s="19">
        <f>'5. Bilan 2023'!AJ6</f>
        <v>1915936.3</v>
      </c>
      <c r="AJ6" s="19">
        <f>'5. Bilan 2023'!AK6</f>
        <v>6987052.6799999997</v>
      </c>
      <c r="AK6" s="19">
        <f>'5. Bilan 2023'!AL6</f>
        <v>5419396.3099999996</v>
      </c>
      <c r="AL6" s="19">
        <f>'5. Bilan 2023'!AM6</f>
        <v>5702750.6200000001</v>
      </c>
      <c r="AM6" s="19">
        <f>'5. Bilan 2023'!AN6</f>
        <v>1514616.04</v>
      </c>
      <c r="AN6" s="19">
        <f>'5. Bilan 2023'!AO6</f>
        <v>16125444.41</v>
      </c>
      <c r="AO6" s="19">
        <f>'5. Bilan 2023'!AP6</f>
        <v>2756010.4699999997</v>
      </c>
      <c r="AP6" s="19">
        <f>'5. Bilan 2023'!AQ6</f>
        <v>3079432.68</v>
      </c>
      <c r="AQ6" s="19">
        <f>'5. Bilan 2023'!AR6</f>
        <v>10816502.059999999</v>
      </c>
      <c r="AR6" s="19">
        <f>'5. Bilan 2023'!AS6</f>
        <v>2584544.98</v>
      </c>
      <c r="AS6" s="19">
        <f>'5. Bilan 2023'!AT6</f>
        <v>4203864.45</v>
      </c>
      <c r="AT6" s="19">
        <f>'5. Bilan 2023'!AU6</f>
        <v>2772531.79</v>
      </c>
      <c r="AU6" s="19">
        <f>'5. Bilan 2023'!AV6</f>
        <v>5131515.6499999994</v>
      </c>
      <c r="AV6" s="19">
        <f>'5. Bilan 2023'!AW6</f>
        <v>3213394.9300000006</v>
      </c>
      <c r="AW6" s="19">
        <f>'5. Bilan 2023'!AX6</f>
        <v>1620584.54</v>
      </c>
      <c r="AX6" s="19">
        <f>'5. Bilan 2023'!AY6</f>
        <v>2294031.4000000004</v>
      </c>
      <c r="AY6" s="19">
        <f>'5. Bilan 2023'!AZ6</f>
        <v>4569535.6400000006</v>
      </c>
      <c r="AZ6" s="19">
        <f>'5. Bilan 2023'!BA6</f>
        <v>3041087.9499999997</v>
      </c>
      <c r="BA6" s="19">
        <f>'5. Bilan 2023'!BB6</f>
        <v>5110839.08</v>
      </c>
      <c r="BB6" s="19">
        <f>'5. Bilan 2023'!BC6</f>
        <v>27535890.880000003</v>
      </c>
      <c r="BC6" s="19">
        <f>'5. Bilan 2023'!BD6</f>
        <v>2723943.42</v>
      </c>
      <c r="BD6" s="19">
        <f>'5. Bilan 2023'!BE6</f>
        <v>350070147.77000004</v>
      </c>
      <c r="BE6" s="19">
        <f>'5. Bilan 2023'!BF6</f>
        <v>159811338.44000003</v>
      </c>
      <c r="BF6" s="19">
        <f>'5. Bilan 2023'!BG6</f>
        <v>73055839.350000009</v>
      </c>
      <c r="BG6" s="19">
        <f>'5. Bilan 2023'!BH6</f>
        <v>117202969.98</v>
      </c>
    </row>
    <row r="7" spans="1:59" x14ac:dyDescent="0.2">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row>
    <row r="8" spans="1:59" ht="20.25" x14ac:dyDescent="0.3">
      <c r="A8" s="14">
        <v>2</v>
      </c>
      <c r="B8" s="14"/>
      <c r="C8" s="14"/>
      <c r="D8" s="14" t="s">
        <v>247</v>
      </c>
      <c r="E8" s="211"/>
      <c r="F8" s="211"/>
      <c r="G8" s="211"/>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c r="AN8" s="211"/>
      <c r="AO8" s="211"/>
      <c r="AP8" s="211"/>
      <c r="AQ8" s="211"/>
      <c r="AR8" s="211"/>
      <c r="AS8" s="211"/>
      <c r="AT8" s="211"/>
      <c r="AU8" s="211"/>
      <c r="AV8" s="211"/>
      <c r="AW8" s="211"/>
      <c r="AX8" s="211"/>
      <c r="AY8" s="211"/>
      <c r="AZ8" s="211"/>
      <c r="BA8" s="211"/>
      <c r="BB8" s="211"/>
      <c r="BC8" s="211"/>
      <c r="BD8" s="211"/>
      <c r="BE8" s="211"/>
      <c r="BF8" s="211"/>
      <c r="BG8" s="211"/>
    </row>
    <row r="9" spans="1:59" ht="15" x14ac:dyDescent="0.25">
      <c r="B9" s="16"/>
      <c r="C9" s="17">
        <v>20</v>
      </c>
      <c r="D9" s="17" t="s">
        <v>248</v>
      </c>
      <c r="E9" s="135">
        <f>'5. Bilan 2023'!F122</f>
        <v>11516210.049999999</v>
      </c>
      <c r="F9" s="135">
        <f>'5. Bilan 2023'!G122</f>
        <v>2271344.35</v>
      </c>
      <c r="G9" s="135">
        <f>'5. Bilan 2023'!H122</f>
        <v>5471289.0199999996</v>
      </c>
      <c r="H9" s="135">
        <f>'5. Bilan 2023'!I122</f>
        <v>4547438.5599999996</v>
      </c>
      <c r="I9" s="135">
        <f>'5. Bilan 2023'!J122</f>
        <v>30668957.079999998</v>
      </c>
      <c r="J9" s="135">
        <f>'5. Bilan 2023'!K122</f>
        <v>24111670.329999998</v>
      </c>
      <c r="K9" s="135">
        <f>'5. Bilan 2023'!L122</f>
        <v>10936168.67</v>
      </c>
      <c r="L9" s="135">
        <f>'5. Bilan 2023'!M122</f>
        <v>176217457.5</v>
      </c>
      <c r="M9" s="135">
        <f>'5. Bilan 2023'!N122</f>
        <v>7751885.4200000009</v>
      </c>
      <c r="N9" s="135">
        <f>'5. Bilan 2023'!O122</f>
        <v>854277.12</v>
      </c>
      <c r="O9" s="135">
        <f>'5. Bilan 2023'!P122</f>
        <v>48572566.589999996</v>
      </c>
      <c r="P9" s="135">
        <f>'5. Bilan 2023'!Q122</f>
        <v>2913653.91</v>
      </c>
      <c r="Q9" s="135">
        <f>'5. Bilan 2023'!R122</f>
        <v>502459.14</v>
      </c>
      <c r="R9" s="135">
        <f>'5. Bilan 2023'!S122</f>
        <v>3517640.6999999997</v>
      </c>
      <c r="S9" s="135">
        <f>'5. Bilan 2023'!T122</f>
        <v>3894226.1799999997</v>
      </c>
      <c r="T9" s="135">
        <f>'5. Bilan 2023'!U122</f>
        <v>5455294.2999999998</v>
      </c>
      <c r="U9" s="135">
        <f>'5. Bilan 2023'!V122</f>
        <v>1398343.95</v>
      </c>
      <c r="V9" s="135">
        <f>'5. Bilan 2023'!W122</f>
        <v>3610281.5100000002</v>
      </c>
      <c r="W9" s="135">
        <f>'5. Bilan 2023'!X122</f>
        <v>16392280.369999999</v>
      </c>
      <c r="X9" s="135">
        <f>'5. Bilan 2023'!Y122</f>
        <v>605740.86</v>
      </c>
      <c r="Y9" s="135">
        <f>'5. Bilan 2023'!Z122</f>
        <v>8236337.1399999997</v>
      </c>
      <c r="Z9" s="135">
        <f>'5. Bilan 2023'!AA122</f>
        <v>13326638.43</v>
      </c>
      <c r="AA9" s="135">
        <f>'5. Bilan 2023'!AB122</f>
        <v>1523438.0699999998</v>
      </c>
      <c r="AB9" s="135">
        <f>'5. Bilan 2023'!AC122</f>
        <v>4533397.76</v>
      </c>
      <c r="AC9" s="135">
        <f>'5. Bilan 2023'!AD122</f>
        <v>7363977.0800000001</v>
      </c>
      <c r="AD9" s="135">
        <f>'5. Bilan 2023'!AE122</f>
        <v>4045749.61</v>
      </c>
      <c r="AE9" s="135">
        <f>'5. Bilan 2023'!AF122</f>
        <v>733220.51</v>
      </c>
      <c r="AF9" s="135">
        <f>'5. Bilan 2023'!AG122</f>
        <v>5680567.5699999994</v>
      </c>
      <c r="AG9" s="135">
        <f>'5. Bilan 2023'!AH122</f>
        <v>16814677.220000003</v>
      </c>
      <c r="AH9" s="135">
        <f>'5. Bilan 2023'!AI122</f>
        <v>1728048.82</v>
      </c>
      <c r="AI9" s="135">
        <f>'5. Bilan 2023'!AJ122</f>
        <v>817432.31</v>
      </c>
      <c r="AJ9" s="135">
        <f>'5. Bilan 2023'!AK122</f>
        <v>17797379.120000001</v>
      </c>
      <c r="AK9" s="135">
        <f>'5. Bilan 2023'!AL122</f>
        <v>8007765.1399999997</v>
      </c>
      <c r="AL9" s="135">
        <f>'5. Bilan 2023'!AM122</f>
        <v>12885634</v>
      </c>
      <c r="AM9" s="135">
        <f>'5. Bilan 2023'!AN122</f>
        <v>1440484.52</v>
      </c>
      <c r="AN9" s="135">
        <f>'5. Bilan 2023'!AO122</f>
        <v>9096491.3399999999</v>
      </c>
      <c r="AO9" s="135">
        <f>'5. Bilan 2023'!AP122</f>
        <v>5189921.37</v>
      </c>
      <c r="AP9" s="135">
        <f>'5. Bilan 2023'!AQ122</f>
        <v>5229923.3900000006</v>
      </c>
      <c r="AQ9" s="135">
        <f>'5. Bilan 2023'!AR122</f>
        <v>10507725.350000001</v>
      </c>
      <c r="AR9" s="135">
        <f>'5. Bilan 2023'!AS122</f>
        <v>5683203.0499999998</v>
      </c>
      <c r="AS9" s="135">
        <f>'5. Bilan 2023'!AT122</f>
        <v>9443544.6800000016</v>
      </c>
      <c r="AT9" s="135">
        <f>'5. Bilan 2023'!AU122</f>
        <v>1672271.6099999999</v>
      </c>
      <c r="AU9" s="135">
        <f>'5. Bilan 2023'!AV122</f>
        <v>15611434.800000001</v>
      </c>
      <c r="AV9" s="135">
        <f>'5. Bilan 2023'!AW122</f>
        <v>5996657.0699999994</v>
      </c>
      <c r="AW9" s="135">
        <f>'5. Bilan 2023'!AX122</f>
        <v>921546.70000000007</v>
      </c>
      <c r="AX9" s="135">
        <f>'5. Bilan 2023'!AY122</f>
        <v>2048619.17</v>
      </c>
      <c r="AY9" s="135">
        <f>'5. Bilan 2023'!AZ122</f>
        <v>19491255.919999998</v>
      </c>
      <c r="AZ9" s="135">
        <f>'5. Bilan 2023'!BA122</f>
        <v>3257793.8099999996</v>
      </c>
      <c r="BA9" s="135">
        <f>'5. Bilan 2023'!BB122</f>
        <v>10712340.949999999</v>
      </c>
      <c r="BB9" s="135">
        <f>'5. Bilan 2023'!BC122</f>
        <v>73459291.810000002</v>
      </c>
      <c r="BC9" s="135">
        <f>'5. Bilan 2023'!BD122</f>
        <v>4807157.72</v>
      </c>
      <c r="BD9" s="135">
        <f>'5. Bilan 2023'!BE122</f>
        <v>649273111.64999986</v>
      </c>
      <c r="BE9" s="135">
        <f>'5. Bilan 2023'!BF122</f>
        <v>360603444.75</v>
      </c>
      <c r="BF9" s="135">
        <f>'5. Bilan 2023'!BG122</f>
        <v>65409225.380000003</v>
      </c>
      <c r="BG9" s="135">
        <f>'5. Bilan 2023'!BH122</f>
        <v>223260441.51999998</v>
      </c>
    </row>
    <row r="10" spans="1:59" x14ac:dyDescent="0.2">
      <c r="C10" s="8">
        <v>200</v>
      </c>
      <c r="D10" s="8" t="s">
        <v>249</v>
      </c>
      <c r="E10" s="19">
        <f>'5. Bilan 2023'!F123</f>
        <v>388186.60000000003</v>
      </c>
      <c r="F10" s="19">
        <f>'5. Bilan 2023'!G123</f>
        <v>108982.65</v>
      </c>
      <c r="G10" s="19">
        <f>'5. Bilan 2023'!H123</f>
        <v>64397.15</v>
      </c>
      <c r="H10" s="19">
        <f>'5. Bilan 2023'!I123</f>
        <v>285138.56</v>
      </c>
      <c r="I10" s="19">
        <f>'5. Bilan 2023'!J123</f>
        <v>1842482.12</v>
      </c>
      <c r="J10" s="19">
        <f>'5. Bilan 2023'!K123</f>
        <v>2272901.04</v>
      </c>
      <c r="K10" s="19">
        <f>'5. Bilan 2023'!L123</f>
        <v>231765.06</v>
      </c>
      <c r="L10" s="19">
        <f>'5. Bilan 2023'!M123</f>
        <v>11396893.23</v>
      </c>
      <c r="M10" s="19">
        <f>'5. Bilan 2023'!N123</f>
        <v>669934.87</v>
      </c>
      <c r="N10" s="19">
        <f>'5. Bilan 2023'!O123</f>
        <v>0</v>
      </c>
      <c r="O10" s="19">
        <f>'5. Bilan 2023'!P123</f>
        <v>2047572.42</v>
      </c>
      <c r="P10" s="19">
        <f>'5. Bilan 2023'!Q123</f>
        <v>41629.83</v>
      </c>
      <c r="Q10" s="19">
        <f>'5. Bilan 2023'!R123</f>
        <v>20260</v>
      </c>
      <c r="R10" s="19">
        <f>'5. Bilan 2023'!S123</f>
        <v>607761.11</v>
      </c>
      <c r="S10" s="19">
        <f>'5. Bilan 2023'!T123</f>
        <v>121241.75</v>
      </c>
      <c r="T10" s="19">
        <f>'5. Bilan 2023'!U123</f>
        <v>225136.55</v>
      </c>
      <c r="U10" s="19">
        <f>'5. Bilan 2023'!V123</f>
        <v>389542.71</v>
      </c>
      <c r="V10" s="19">
        <f>'5. Bilan 2023'!W123</f>
        <v>71080.800000000003</v>
      </c>
      <c r="W10" s="19">
        <f>'5. Bilan 2023'!X123</f>
        <v>1422273</v>
      </c>
      <c r="X10" s="19">
        <f>'5. Bilan 2023'!Y123</f>
        <v>0</v>
      </c>
      <c r="Y10" s="19">
        <f>'5. Bilan 2023'!Z123</f>
        <v>423662.73000000004</v>
      </c>
      <c r="Z10" s="19">
        <f>'5. Bilan 2023'!AA123</f>
        <v>3004934.01</v>
      </c>
      <c r="AA10" s="19">
        <f>'5. Bilan 2023'!AB123</f>
        <v>58746.05</v>
      </c>
      <c r="AB10" s="19">
        <f>'5. Bilan 2023'!AC123</f>
        <v>267728.61</v>
      </c>
      <c r="AC10" s="19">
        <f>'5. Bilan 2023'!AD123</f>
        <v>139644.75</v>
      </c>
      <c r="AD10" s="19">
        <f>'5. Bilan 2023'!AE123</f>
        <v>219249.65000000002</v>
      </c>
      <c r="AE10" s="19">
        <f>'5. Bilan 2023'!AF123</f>
        <v>131021.76999999999</v>
      </c>
      <c r="AF10" s="19">
        <f>'5. Bilan 2023'!AG123</f>
        <v>1249725.98</v>
      </c>
      <c r="AG10" s="19">
        <f>'5. Bilan 2023'!AH123</f>
        <v>569937.07000000007</v>
      </c>
      <c r="AH10" s="19">
        <f>'5. Bilan 2023'!AI123</f>
        <v>586634.94999999995</v>
      </c>
      <c r="AI10" s="19">
        <f>'5. Bilan 2023'!AJ123</f>
        <v>63246.01</v>
      </c>
      <c r="AJ10" s="19">
        <f>'5. Bilan 2023'!AK123</f>
        <v>535592.78</v>
      </c>
      <c r="AK10" s="19">
        <f>'5. Bilan 2023'!AL123</f>
        <v>120775.84</v>
      </c>
      <c r="AL10" s="19">
        <f>'5. Bilan 2023'!AM123</f>
        <v>500314.88</v>
      </c>
      <c r="AM10" s="19">
        <f>'5. Bilan 2023'!AN123</f>
        <v>37943.22</v>
      </c>
      <c r="AN10" s="19">
        <f>'5. Bilan 2023'!AO123</f>
        <v>692746.51</v>
      </c>
      <c r="AO10" s="19">
        <f>'5. Bilan 2023'!AP123</f>
        <v>283729.33999999997</v>
      </c>
      <c r="AP10" s="19">
        <f>'5. Bilan 2023'!AQ123</f>
        <v>237126.82</v>
      </c>
      <c r="AQ10" s="19">
        <f>'5. Bilan 2023'!AR123</f>
        <v>526552.65</v>
      </c>
      <c r="AR10" s="19">
        <f>'5. Bilan 2023'!AS123</f>
        <v>678578.01</v>
      </c>
      <c r="AS10" s="19">
        <f>'5. Bilan 2023'!AT123</f>
        <v>240442.31</v>
      </c>
      <c r="AT10" s="19">
        <f>'5. Bilan 2023'!AU123</f>
        <v>41249.660000000003</v>
      </c>
      <c r="AU10" s="19">
        <f>'5. Bilan 2023'!AV123</f>
        <v>429144.89999999997</v>
      </c>
      <c r="AV10" s="19">
        <f>'5. Bilan 2023'!AW123</f>
        <v>162447.82</v>
      </c>
      <c r="AW10" s="19">
        <f>'5. Bilan 2023'!AX123</f>
        <v>116119.43</v>
      </c>
      <c r="AX10" s="19">
        <f>'5. Bilan 2023'!AY123</f>
        <v>202576.04</v>
      </c>
      <c r="AY10" s="19">
        <f>'5. Bilan 2023'!AZ123</f>
        <v>946254.85</v>
      </c>
      <c r="AZ10" s="19">
        <f>'5. Bilan 2023'!BA123</f>
        <v>73512.92</v>
      </c>
      <c r="BA10" s="19">
        <f>'5. Bilan 2023'!BB123</f>
        <v>356834.51999999996</v>
      </c>
      <c r="BB10" s="19">
        <f>'5. Bilan 2023'!BC123</f>
        <v>2372740.48</v>
      </c>
      <c r="BC10" s="19">
        <f>'5. Bilan 2023'!BD123</f>
        <v>356190.26</v>
      </c>
      <c r="BD10" s="19">
        <f>'5. Bilan 2023'!BE123</f>
        <v>37832584.270000003</v>
      </c>
      <c r="BE10" s="19">
        <f>'5. Bilan 2023'!BF123</f>
        <v>22207179.450000003</v>
      </c>
      <c r="BF10" s="19">
        <f>'5. Bilan 2023'!BG123</f>
        <v>6714531.5799999991</v>
      </c>
      <c r="BG10" s="19">
        <f>'5. Bilan 2023'!BH123</f>
        <v>8910873.2399999984</v>
      </c>
    </row>
    <row r="11" spans="1:59" x14ac:dyDescent="0.2">
      <c r="C11" s="8">
        <v>201</v>
      </c>
      <c r="D11" s="8" t="s">
        <v>250</v>
      </c>
      <c r="E11" s="19">
        <f>'5. Bilan 2023'!F133</f>
        <v>3247562.34</v>
      </c>
      <c r="F11" s="19">
        <f>'5. Bilan 2023'!G133</f>
        <v>308700</v>
      </c>
      <c r="G11" s="19">
        <f>'5. Bilan 2023'!H133</f>
        <v>128800</v>
      </c>
      <c r="H11" s="19">
        <f>'5. Bilan 2023'!I133</f>
        <v>324783.78999999998</v>
      </c>
      <c r="I11" s="19">
        <f>'5. Bilan 2023'!J133</f>
        <v>9159616.7400000002</v>
      </c>
      <c r="J11" s="19">
        <f>'5. Bilan 2023'!K133</f>
        <v>9781550</v>
      </c>
      <c r="K11" s="19">
        <f>'5. Bilan 2023'!L133</f>
        <v>125000</v>
      </c>
      <c r="L11" s="19">
        <f>'5. Bilan 2023'!M133</f>
        <v>29206108</v>
      </c>
      <c r="M11" s="19">
        <f>'5. Bilan 2023'!N133</f>
        <v>3179142.7</v>
      </c>
      <c r="N11" s="19">
        <f>'5. Bilan 2023'!O133</f>
        <v>0</v>
      </c>
      <c r="O11" s="19">
        <f>'5. Bilan 2023'!P133</f>
        <v>16659160</v>
      </c>
      <c r="P11" s="19">
        <f>'5. Bilan 2023'!Q133</f>
        <v>264365.36</v>
      </c>
      <c r="Q11" s="19">
        <f>'5. Bilan 2023'!R133</f>
        <v>112164.19</v>
      </c>
      <c r="R11" s="19">
        <f>'5. Bilan 2023'!S133</f>
        <v>367561.58999999997</v>
      </c>
      <c r="S11" s="19">
        <f>'5. Bilan 2023'!T133</f>
        <v>2222074.23</v>
      </c>
      <c r="T11" s="19">
        <f>'5. Bilan 2023'!U133</f>
        <v>352571.55</v>
      </c>
      <c r="U11" s="19">
        <f>'5. Bilan 2023'!V133</f>
        <v>158331.28999999998</v>
      </c>
      <c r="V11" s="19">
        <f>'5. Bilan 2023'!W133</f>
        <v>142193.9</v>
      </c>
      <c r="W11" s="19">
        <f>'5. Bilan 2023'!X133</f>
        <v>2589284.9500000002</v>
      </c>
      <c r="X11" s="19">
        <f>'5. Bilan 2023'!Y133</f>
        <v>67120</v>
      </c>
      <c r="Y11" s="19">
        <f>'5. Bilan 2023'!Z133</f>
        <v>791364.46</v>
      </c>
      <c r="Z11" s="19">
        <f>'5. Bilan 2023'!AA133</f>
        <v>0</v>
      </c>
      <c r="AA11" s="19">
        <f>'5. Bilan 2023'!AB133</f>
        <v>412500</v>
      </c>
      <c r="AB11" s="19">
        <f>'5. Bilan 2023'!AC133</f>
        <v>625199.16999999993</v>
      </c>
      <c r="AC11" s="19">
        <f>'5. Bilan 2023'!AD133</f>
        <v>1064787.7</v>
      </c>
      <c r="AD11" s="19">
        <f>'5. Bilan 2023'!AE133</f>
        <v>227038.08000000002</v>
      </c>
      <c r="AE11" s="19">
        <f>'5. Bilan 2023'!AF133</f>
        <v>131498.95000000001</v>
      </c>
      <c r="AF11" s="19">
        <f>'5. Bilan 2023'!AG133</f>
        <v>67194.09</v>
      </c>
      <c r="AG11" s="19">
        <f>'5. Bilan 2023'!AH133</f>
        <v>3108720</v>
      </c>
      <c r="AH11" s="19">
        <f>'5. Bilan 2023'!AI133</f>
        <v>112241.81</v>
      </c>
      <c r="AI11" s="19">
        <f>'5. Bilan 2023'!AJ133</f>
        <v>36020</v>
      </c>
      <c r="AJ11" s="19">
        <f>'5. Bilan 2023'!AK133</f>
        <v>510000</v>
      </c>
      <c r="AK11" s="19">
        <f>'5. Bilan 2023'!AL133</f>
        <v>462372.1</v>
      </c>
      <c r="AL11" s="19">
        <f>'5. Bilan 2023'!AM133</f>
        <v>1284716.3500000001</v>
      </c>
      <c r="AM11" s="19">
        <f>'5. Bilan 2023'!AN133</f>
        <v>0</v>
      </c>
      <c r="AN11" s="19">
        <f>'5. Bilan 2023'!AO133</f>
        <v>0</v>
      </c>
      <c r="AO11" s="19">
        <f>'5. Bilan 2023'!AP133</f>
        <v>103650</v>
      </c>
      <c r="AP11" s="19">
        <f>'5. Bilan 2023'!AQ133</f>
        <v>701481.45</v>
      </c>
      <c r="AQ11" s="19">
        <f>'5. Bilan 2023'!AR133</f>
        <v>181840</v>
      </c>
      <c r="AR11" s="19">
        <f>'5. Bilan 2023'!AS133</f>
        <v>270792.87</v>
      </c>
      <c r="AS11" s="19">
        <f>'5. Bilan 2023'!AT133</f>
        <v>301720</v>
      </c>
      <c r="AT11" s="19">
        <f>'5. Bilan 2023'!AU133</f>
        <v>19300</v>
      </c>
      <c r="AU11" s="19">
        <f>'5. Bilan 2023'!AV133</f>
        <v>83752.37</v>
      </c>
      <c r="AV11" s="19">
        <f>'5. Bilan 2023'!AW133</f>
        <v>147300</v>
      </c>
      <c r="AW11" s="19">
        <f>'5. Bilan 2023'!AX133</f>
        <v>0</v>
      </c>
      <c r="AX11" s="19">
        <f>'5. Bilan 2023'!AY133</f>
        <v>55272.89</v>
      </c>
      <c r="AY11" s="19">
        <f>'5. Bilan 2023'!AZ133</f>
        <v>1900488.77</v>
      </c>
      <c r="AZ11" s="19">
        <f>'5. Bilan 2023'!BA133</f>
        <v>1323284.04</v>
      </c>
      <c r="BA11" s="19">
        <f>'5. Bilan 2023'!BB133</f>
        <v>2970150.44</v>
      </c>
      <c r="BB11" s="19">
        <f>'5. Bilan 2023'!BC133</f>
        <v>10463949.6</v>
      </c>
      <c r="BC11" s="19">
        <f>'5. Bilan 2023'!BD133</f>
        <v>432322.26</v>
      </c>
      <c r="BD11" s="19">
        <f>'5. Bilan 2023'!BE133</f>
        <v>106185048.03000003</v>
      </c>
      <c r="BE11" s="19">
        <f>'5. Bilan 2023'!BF133</f>
        <v>78328970.630000025</v>
      </c>
      <c r="BF11" s="19">
        <f>'5. Bilan 2023'!BG133</f>
        <v>6643684.2599999998</v>
      </c>
      <c r="BG11" s="19">
        <f>'5. Bilan 2023'!BH133</f>
        <v>21212393.140000004</v>
      </c>
    </row>
    <row r="12" spans="1:59" x14ac:dyDescent="0.2">
      <c r="C12" s="8">
        <v>2016</v>
      </c>
      <c r="D12" s="8" t="s">
        <v>265</v>
      </c>
      <c r="E12" s="19">
        <f>'5. Bilan 2023'!F140</f>
        <v>0</v>
      </c>
      <c r="F12" s="19">
        <f>'5. Bilan 2023'!G140</f>
        <v>0</v>
      </c>
      <c r="G12" s="19">
        <f>'5. Bilan 2023'!H140</f>
        <v>0</v>
      </c>
      <c r="H12" s="19">
        <f>'5. Bilan 2023'!I140</f>
        <v>0</v>
      </c>
      <c r="I12" s="19">
        <f>'5. Bilan 2023'!J140</f>
        <v>0</v>
      </c>
      <c r="J12" s="19">
        <f>'5. Bilan 2023'!K140</f>
        <v>0</v>
      </c>
      <c r="K12" s="19">
        <f>'5. Bilan 2023'!L140</f>
        <v>0</v>
      </c>
      <c r="L12" s="19">
        <f>'5. Bilan 2023'!M140</f>
        <v>0</v>
      </c>
      <c r="M12" s="19">
        <f>'5. Bilan 2023'!N140</f>
        <v>0</v>
      </c>
      <c r="N12" s="19">
        <f>'5. Bilan 2023'!O140</f>
        <v>0</v>
      </c>
      <c r="O12" s="19">
        <f>'5. Bilan 2023'!P140</f>
        <v>0</v>
      </c>
      <c r="P12" s="19">
        <f>'5. Bilan 2023'!Q140</f>
        <v>0</v>
      </c>
      <c r="Q12" s="19">
        <f>'5. Bilan 2023'!R140</f>
        <v>0</v>
      </c>
      <c r="R12" s="19">
        <f>'5. Bilan 2023'!S140</f>
        <v>0</v>
      </c>
      <c r="S12" s="19">
        <f>'5. Bilan 2023'!T140</f>
        <v>0</v>
      </c>
      <c r="T12" s="19">
        <f>'5. Bilan 2023'!U140</f>
        <v>0</v>
      </c>
      <c r="U12" s="19">
        <f>'5. Bilan 2023'!V140</f>
        <v>0</v>
      </c>
      <c r="V12" s="19">
        <f>'5. Bilan 2023'!W140</f>
        <v>0</v>
      </c>
      <c r="W12" s="19">
        <f>'5. Bilan 2023'!X140</f>
        <v>0</v>
      </c>
      <c r="X12" s="19">
        <f>'5. Bilan 2023'!Y140</f>
        <v>0</v>
      </c>
      <c r="Y12" s="19">
        <f>'5. Bilan 2023'!Z140</f>
        <v>0</v>
      </c>
      <c r="Z12" s="19">
        <f>'5. Bilan 2023'!AA140</f>
        <v>0</v>
      </c>
      <c r="AA12" s="19">
        <f>'5. Bilan 2023'!AB140</f>
        <v>0</v>
      </c>
      <c r="AB12" s="19">
        <f>'5. Bilan 2023'!AC140</f>
        <v>0</v>
      </c>
      <c r="AC12" s="19">
        <f>'5. Bilan 2023'!AD140</f>
        <v>0</v>
      </c>
      <c r="AD12" s="19">
        <f>'5. Bilan 2023'!AE140</f>
        <v>0</v>
      </c>
      <c r="AE12" s="19">
        <f>'5. Bilan 2023'!AF140</f>
        <v>0</v>
      </c>
      <c r="AF12" s="19">
        <f>'5. Bilan 2023'!AG140</f>
        <v>0</v>
      </c>
      <c r="AG12" s="19">
        <f>'5. Bilan 2023'!AH140</f>
        <v>0</v>
      </c>
      <c r="AH12" s="19">
        <f>'5. Bilan 2023'!AI140</f>
        <v>0</v>
      </c>
      <c r="AI12" s="19">
        <f>'5. Bilan 2023'!AJ140</f>
        <v>0</v>
      </c>
      <c r="AJ12" s="19">
        <f>'5. Bilan 2023'!AK140</f>
        <v>0</v>
      </c>
      <c r="AK12" s="19">
        <f>'5. Bilan 2023'!AL140</f>
        <v>0</v>
      </c>
      <c r="AL12" s="19">
        <f>'5. Bilan 2023'!AM140</f>
        <v>0</v>
      </c>
      <c r="AM12" s="19">
        <f>'5. Bilan 2023'!AN140</f>
        <v>0</v>
      </c>
      <c r="AN12" s="19">
        <f>'5. Bilan 2023'!AO140</f>
        <v>0</v>
      </c>
      <c r="AO12" s="19">
        <f>'5. Bilan 2023'!AP140</f>
        <v>0</v>
      </c>
      <c r="AP12" s="19">
        <f>'5. Bilan 2023'!AQ140</f>
        <v>0</v>
      </c>
      <c r="AQ12" s="19">
        <f>'5. Bilan 2023'!AR140</f>
        <v>0</v>
      </c>
      <c r="AR12" s="19">
        <f>'5. Bilan 2023'!AS140</f>
        <v>0</v>
      </c>
      <c r="AS12" s="19">
        <f>'5. Bilan 2023'!AT140</f>
        <v>0</v>
      </c>
      <c r="AT12" s="19">
        <f>'5. Bilan 2023'!AU140</f>
        <v>0</v>
      </c>
      <c r="AU12" s="19">
        <f>'5. Bilan 2023'!AV140</f>
        <v>0</v>
      </c>
      <c r="AV12" s="19">
        <f>'5. Bilan 2023'!AW140</f>
        <v>0</v>
      </c>
      <c r="AW12" s="19">
        <f>'5. Bilan 2023'!AX140</f>
        <v>0</v>
      </c>
      <c r="AX12" s="19">
        <f>'5. Bilan 2023'!AY140</f>
        <v>0</v>
      </c>
      <c r="AY12" s="19">
        <f>'5. Bilan 2023'!AZ140</f>
        <v>0</v>
      </c>
      <c r="AZ12" s="19">
        <f>'5. Bilan 2023'!BA140</f>
        <v>0</v>
      </c>
      <c r="BA12" s="19">
        <f>'5. Bilan 2023'!BB140</f>
        <v>0</v>
      </c>
      <c r="BB12" s="19">
        <f>'5. Bilan 2023'!BC140</f>
        <v>0</v>
      </c>
      <c r="BC12" s="19">
        <f>'5. Bilan 2023'!BD140</f>
        <v>0</v>
      </c>
      <c r="BD12" s="19">
        <f>'5. Bilan 2023'!BE140</f>
        <v>0</v>
      </c>
      <c r="BE12" s="19">
        <f>'5. Bilan 2023'!BF140</f>
        <v>0</v>
      </c>
      <c r="BF12" s="19">
        <f>'5. Bilan 2023'!BG140</f>
        <v>0</v>
      </c>
      <c r="BG12" s="19">
        <f>'5. Bilan 2023'!BH140</f>
        <v>0</v>
      </c>
    </row>
    <row r="13" spans="1:59" x14ac:dyDescent="0.2">
      <c r="C13" s="8">
        <v>206</v>
      </c>
      <c r="D13" s="8" t="s">
        <v>253</v>
      </c>
      <c r="E13" s="19">
        <f>'5. Bilan 2023'!F165</f>
        <v>7510551.21</v>
      </c>
      <c r="F13" s="19">
        <f>'5. Bilan 2023'!G165</f>
        <v>1851799.6</v>
      </c>
      <c r="G13" s="19">
        <f>'5. Bilan 2023'!H165</f>
        <v>4920200</v>
      </c>
      <c r="H13" s="19">
        <f>'5. Bilan 2023'!I165</f>
        <v>3492259.81</v>
      </c>
      <c r="I13" s="19">
        <f>'5. Bilan 2023'!J165</f>
        <v>19132837.5</v>
      </c>
      <c r="J13" s="19">
        <f>'5. Bilan 2023'!K165</f>
        <v>10914450</v>
      </c>
      <c r="K13" s="19">
        <f>'5. Bilan 2023'!L165</f>
        <v>9621376.1999999993</v>
      </c>
      <c r="L13" s="19">
        <f>'5. Bilan 2023'!M165</f>
        <v>131323275.34999999</v>
      </c>
      <c r="M13" s="19">
        <f>'5. Bilan 2023'!N165</f>
        <v>3879800</v>
      </c>
      <c r="N13" s="19">
        <f>'5. Bilan 2023'!O165</f>
        <v>714480.9</v>
      </c>
      <c r="O13" s="19">
        <f>'5. Bilan 2023'!P165</f>
        <v>27794830.149999999</v>
      </c>
      <c r="P13" s="19">
        <f>'5. Bilan 2023'!Q165</f>
        <v>2331870.35</v>
      </c>
      <c r="Q13" s="19">
        <f>'5. Bilan 2023'!R165</f>
        <v>339150</v>
      </c>
      <c r="R13" s="19">
        <f>'5. Bilan 2023'!S165</f>
        <v>2494299.85</v>
      </c>
      <c r="S13" s="19">
        <f>'5. Bilan 2023'!T165</f>
        <v>1470500</v>
      </c>
      <c r="T13" s="19">
        <f>'5. Bilan 2023'!U165</f>
        <v>4248500</v>
      </c>
      <c r="U13" s="19">
        <f>'5. Bilan 2023'!V165</f>
        <v>717950</v>
      </c>
      <c r="V13" s="19">
        <f>'5. Bilan 2023'!W165</f>
        <v>3081197.16</v>
      </c>
      <c r="W13" s="19">
        <f>'5. Bilan 2023'!X165</f>
        <v>11585480</v>
      </c>
      <c r="X13" s="19">
        <f>'5. Bilan 2023'!Y165</f>
        <v>387206.2</v>
      </c>
      <c r="Y13" s="19">
        <f>'5. Bilan 2023'!Z165</f>
        <v>6855600</v>
      </c>
      <c r="Z13" s="19">
        <f>'5. Bilan 2023'!AA165</f>
        <v>566000</v>
      </c>
      <c r="AA13" s="19">
        <f>'5. Bilan 2023'!AB165</f>
        <v>750000</v>
      </c>
      <c r="AB13" s="19">
        <f>'5. Bilan 2023'!AC165</f>
        <v>3420125</v>
      </c>
      <c r="AC13" s="19">
        <f>'5. Bilan 2023'!AD165</f>
        <v>5632900</v>
      </c>
      <c r="AD13" s="19">
        <f>'5. Bilan 2023'!AE165</f>
        <v>3355700</v>
      </c>
      <c r="AE13" s="19">
        <f>'5. Bilan 2023'!AF165</f>
        <v>120000</v>
      </c>
      <c r="AF13" s="19">
        <f>'5. Bilan 2023'!AG165</f>
        <v>3841400</v>
      </c>
      <c r="AG13" s="19">
        <f>'5. Bilan 2023'!AH165</f>
        <v>11860595.15</v>
      </c>
      <c r="AH13" s="19">
        <f>'5. Bilan 2023'!AI165</f>
        <v>923842.26</v>
      </c>
      <c r="AI13" s="19">
        <f>'5. Bilan 2023'!AJ165</f>
        <v>626830</v>
      </c>
      <c r="AJ13" s="19">
        <f>'5. Bilan 2023'!AK165</f>
        <v>15858820</v>
      </c>
      <c r="AK13" s="19">
        <f>'5. Bilan 2023'!AL165</f>
        <v>7260650</v>
      </c>
      <c r="AL13" s="19">
        <f>'5. Bilan 2023'!AM165</f>
        <v>10478627.85</v>
      </c>
      <c r="AM13" s="19">
        <f>'5. Bilan 2023'!AN165</f>
        <v>1363570</v>
      </c>
      <c r="AN13" s="19">
        <f>'5. Bilan 2023'!AO165</f>
        <v>7923800</v>
      </c>
      <c r="AO13" s="19">
        <f>'5. Bilan 2023'!AP165</f>
        <v>4552450</v>
      </c>
      <c r="AP13" s="19">
        <f>'5. Bilan 2023'!AQ165</f>
        <v>4079235</v>
      </c>
      <c r="AQ13" s="19">
        <f>'5. Bilan 2023'!AR165</f>
        <v>9438240.8800000008</v>
      </c>
      <c r="AR13" s="19">
        <f>'5. Bilan 2023'!AS165</f>
        <v>4689018.5999999996</v>
      </c>
      <c r="AS13" s="19">
        <f>'5. Bilan 2023'!AT165</f>
        <v>8848577.5</v>
      </c>
      <c r="AT13" s="19">
        <f>'5. Bilan 2023'!AU165</f>
        <v>1568065</v>
      </c>
      <c r="AU13" s="19">
        <f>'5. Bilan 2023'!AV165</f>
        <v>14611300</v>
      </c>
      <c r="AV13" s="19">
        <f>'5. Bilan 2023'!AW165</f>
        <v>5418942</v>
      </c>
      <c r="AW13" s="19">
        <f>'5. Bilan 2023'!AX165</f>
        <v>656850</v>
      </c>
      <c r="AX13" s="19">
        <f>'5. Bilan 2023'!AY165</f>
        <v>1689820</v>
      </c>
      <c r="AY13" s="19">
        <f>'5. Bilan 2023'!AZ165</f>
        <v>16384012</v>
      </c>
      <c r="AZ13" s="19">
        <f>'5. Bilan 2023'!BA165</f>
        <v>1762350</v>
      </c>
      <c r="BA13" s="19">
        <f>'5. Bilan 2023'!BB165</f>
        <v>7168940</v>
      </c>
      <c r="BB13" s="19">
        <f>'5. Bilan 2023'!BC165</f>
        <v>58435785.399999999</v>
      </c>
      <c r="BC13" s="19">
        <f>'5. Bilan 2023'!BD165</f>
        <v>3741973.15</v>
      </c>
      <c r="BD13" s="19">
        <f>'5. Bilan 2023'!BE165</f>
        <v>471696034.06999993</v>
      </c>
      <c r="BE13" s="19">
        <f>'5. Bilan 2023'!BF165</f>
        <v>247424808.08000001</v>
      </c>
      <c r="BF13" s="19">
        <f>'5. Bilan 2023'!BG165</f>
        <v>38340198.609999999</v>
      </c>
      <c r="BG13" s="19">
        <f>'5. Bilan 2023'!BH165</f>
        <v>185931027.38000003</v>
      </c>
    </row>
    <row r="14" spans="1:59" x14ac:dyDescent="0.2">
      <c r="C14" s="8">
        <v>29</v>
      </c>
      <c r="D14" s="8" t="s">
        <v>256</v>
      </c>
      <c r="E14" s="19">
        <f>'5. Bilan 2023'!F190</f>
        <v>5252436.4800000004</v>
      </c>
      <c r="F14" s="19">
        <f>'5. Bilan 2023'!G190</f>
        <v>584118.53</v>
      </c>
      <c r="G14" s="19">
        <f>'5. Bilan 2023'!H190</f>
        <v>689427.85000000009</v>
      </c>
      <c r="H14" s="19">
        <f>'5. Bilan 2023'!I190</f>
        <v>2622737.58</v>
      </c>
      <c r="I14" s="19">
        <f>'5. Bilan 2023'!J190</f>
        <v>12723950.189999999</v>
      </c>
      <c r="J14" s="19">
        <f>'5. Bilan 2023'!K190</f>
        <v>8055435.5899999999</v>
      </c>
      <c r="K14" s="19">
        <f>'5. Bilan 2023'!L190</f>
        <v>12477531.859999999</v>
      </c>
      <c r="L14" s="19">
        <f>'5. Bilan 2023'!M190</f>
        <v>28285634.469999999</v>
      </c>
      <c r="M14" s="19">
        <f>'5. Bilan 2023'!N190</f>
        <v>3970950.54</v>
      </c>
      <c r="N14" s="19">
        <f>'5. Bilan 2023'!O190</f>
        <v>742784.13000000012</v>
      </c>
      <c r="O14" s="19">
        <f>'5. Bilan 2023'!P190</f>
        <v>11601381.769999998</v>
      </c>
      <c r="P14" s="19">
        <f>'5. Bilan 2023'!Q190</f>
        <v>1409165.8800000001</v>
      </c>
      <c r="Q14" s="19">
        <f>'5. Bilan 2023'!R190</f>
        <v>246935.34</v>
      </c>
      <c r="R14" s="19">
        <f>'5. Bilan 2023'!S190</f>
        <v>1049662.94</v>
      </c>
      <c r="S14" s="19">
        <f>'5. Bilan 2023'!T190</f>
        <v>1153724.69</v>
      </c>
      <c r="T14" s="19">
        <f>'5. Bilan 2023'!U190</f>
        <v>3404290.79</v>
      </c>
      <c r="U14" s="19">
        <f>'5. Bilan 2023'!V190</f>
        <v>751098.03</v>
      </c>
      <c r="V14" s="19">
        <f>'5. Bilan 2023'!W190</f>
        <v>781696.64</v>
      </c>
      <c r="W14" s="19">
        <f>'5. Bilan 2023'!X190</f>
        <v>7669309.04</v>
      </c>
      <c r="X14" s="19">
        <f>'5. Bilan 2023'!Y190</f>
        <v>3482115.24</v>
      </c>
      <c r="Y14" s="19">
        <f>'5. Bilan 2023'!Z190</f>
        <v>5971447.5500000007</v>
      </c>
      <c r="Z14" s="19">
        <f>'5. Bilan 2023'!AA190</f>
        <v>28833050.009999998</v>
      </c>
      <c r="AA14" s="19">
        <f>'5. Bilan 2023'!AB190</f>
        <v>1659882.98</v>
      </c>
      <c r="AB14" s="19">
        <f>'5. Bilan 2023'!AC190</f>
        <v>1481985.19</v>
      </c>
      <c r="AC14" s="19">
        <f>'5. Bilan 2023'!AD190</f>
        <v>2016345.04</v>
      </c>
      <c r="AD14" s="19">
        <f>'5. Bilan 2023'!AE190</f>
        <v>2612078.15</v>
      </c>
      <c r="AE14" s="19">
        <f>'5. Bilan 2023'!AF190</f>
        <v>7598993.9299999997</v>
      </c>
      <c r="AF14" s="19">
        <f>'5. Bilan 2023'!AG190</f>
        <v>12144087.32</v>
      </c>
      <c r="AG14" s="19">
        <f>'5. Bilan 2023'!AH190</f>
        <v>11819844.279999999</v>
      </c>
      <c r="AH14" s="19">
        <f>'5. Bilan 2023'!AI190</f>
        <v>2251236.29</v>
      </c>
      <c r="AI14" s="19">
        <f>'5. Bilan 2023'!AJ190</f>
        <v>2411548.69</v>
      </c>
      <c r="AJ14" s="19">
        <f>'5. Bilan 2023'!AK190</f>
        <v>6079390.5200000005</v>
      </c>
      <c r="AK14" s="19">
        <f>'5. Bilan 2023'!AL190</f>
        <v>7256740.5700000003</v>
      </c>
      <c r="AL14" s="19">
        <f>'5. Bilan 2023'!AM190</f>
        <v>3639608.71</v>
      </c>
      <c r="AM14" s="19">
        <f>'5. Bilan 2023'!AN190</f>
        <v>1323508.8</v>
      </c>
      <c r="AN14" s="19">
        <f>'5. Bilan 2023'!AO190</f>
        <v>24750470.689999998</v>
      </c>
      <c r="AO14" s="19">
        <f>'5. Bilan 2023'!AP190</f>
        <v>2285647.35</v>
      </c>
      <c r="AP14" s="19">
        <f>'5. Bilan 2023'!AQ190</f>
        <v>2715093.2199999997</v>
      </c>
      <c r="AQ14" s="19">
        <f>'5. Bilan 2023'!AR190</f>
        <v>10708012.050000001</v>
      </c>
      <c r="AR14" s="19">
        <f>'5. Bilan 2023'!AS190</f>
        <v>2075213.03</v>
      </c>
      <c r="AS14" s="19">
        <f>'5. Bilan 2023'!AT190</f>
        <v>1890096.1600000001</v>
      </c>
      <c r="AT14" s="19">
        <f>'5. Bilan 2023'!AU190</f>
        <v>4099171.4300000006</v>
      </c>
      <c r="AU14" s="19">
        <f>'5. Bilan 2023'!AV190</f>
        <v>7563756.1499999994</v>
      </c>
      <c r="AV14" s="19">
        <f>'5. Bilan 2023'!AW190</f>
        <v>3269804.64</v>
      </c>
      <c r="AW14" s="19">
        <f>'5. Bilan 2023'!AX190</f>
        <v>2497358.4900000002</v>
      </c>
      <c r="AX14" s="19">
        <f>'5. Bilan 2023'!AY190</f>
        <v>1456637.58</v>
      </c>
      <c r="AY14" s="19">
        <f>'5. Bilan 2023'!AZ190</f>
        <v>3610357.97</v>
      </c>
      <c r="AZ14" s="19">
        <f>'5. Bilan 2023'!BA190</f>
        <v>3461439.3</v>
      </c>
      <c r="BA14" s="19">
        <f>'5. Bilan 2023'!BB190</f>
        <v>5235938.21</v>
      </c>
      <c r="BB14" s="19">
        <f>'5. Bilan 2023'!BC190</f>
        <v>11735023.149999999</v>
      </c>
      <c r="BC14" s="19">
        <f>'5. Bilan 2023'!BD190</f>
        <v>1806601.9</v>
      </c>
      <c r="BD14" s="19">
        <f>'5. Bilan 2023'!BE190</f>
        <v>293214756.93000007</v>
      </c>
      <c r="BE14" s="19">
        <f>'5. Bilan 2023'!BF190</f>
        <v>103472272.33999999</v>
      </c>
      <c r="BF14" s="19">
        <f>'5. Bilan 2023'!BG190</f>
        <v>82282614.670000002</v>
      </c>
      <c r="BG14" s="19">
        <f>'5. Bilan 2023'!BH190</f>
        <v>107459869.91999999</v>
      </c>
    </row>
    <row r="15" spans="1:59" x14ac:dyDescent="0.2">
      <c r="C15" s="8">
        <v>299</v>
      </c>
      <c r="D15" s="8" t="s">
        <v>564</v>
      </c>
      <c r="E15" s="19">
        <f>'5. Bilan 2023'!F216</f>
        <v>1886110.4900000002</v>
      </c>
      <c r="F15" s="19">
        <f>'5. Bilan 2023'!G216</f>
        <v>11382.479999999996</v>
      </c>
      <c r="G15" s="19">
        <f>'5. Bilan 2023'!H216</f>
        <v>147527.20000000001</v>
      </c>
      <c r="H15" s="19">
        <f>'5. Bilan 2023'!I216</f>
        <v>942114.51</v>
      </c>
      <c r="I15" s="19">
        <f>'5. Bilan 2023'!J216</f>
        <v>5329910.5599999996</v>
      </c>
      <c r="J15" s="19">
        <f>'5. Bilan 2023'!K216</f>
        <v>2666018.04</v>
      </c>
      <c r="K15" s="19">
        <f>'5. Bilan 2023'!L216</f>
        <v>6542969.2000000002</v>
      </c>
      <c r="L15" s="19">
        <f>'5. Bilan 2023'!M216</f>
        <v>-4795601.3900000006</v>
      </c>
      <c r="M15" s="19">
        <f>'5. Bilan 2023'!N216</f>
        <v>819878.64</v>
      </c>
      <c r="N15" s="19">
        <f>'5. Bilan 2023'!O216</f>
        <v>532616.70000000007</v>
      </c>
      <c r="O15" s="19">
        <f>'5. Bilan 2023'!P216</f>
        <v>101716.69999999995</v>
      </c>
      <c r="P15" s="19">
        <f>'5. Bilan 2023'!Q216</f>
        <v>397718.22000000003</v>
      </c>
      <c r="Q15" s="19">
        <f>'5. Bilan 2023'!R216</f>
        <v>16756.349999999999</v>
      </c>
      <c r="R15" s="19">
        <f>'5. Bilan 2023'!S216</f>
        <v>319970.86</v>
      </c>
      <c r="S15" s="19">
        <f>'5. Bilan 2023'!T216</f>
        <v>-28859.170000000002</v>
      </c>
      <c r="T15" s="19">
        <f>'5. Bilan 2023'!U216</f>
        <v>1131111.26</v>
      </c>
      <c r="U15" s="19">
        <f>'5. Bilan 2023'!V216</f>
        <v>288162.19</v>
      </c>
      <c r="V15" s="19">
        <f>'5. Bilan 2023'!W216</f>
        <v>172301.24</v>
      </c>
      <c r="W15" s="19">
        <f>'5. Bilan 2023'!X216</f>
        <v>2037972.33</v>
      </c>
      <c r="X15" s="19">
        <f>'5. Bilan 2023'!Y216</f>
        <v>2497296.14</v>
      </c>
      <c r="Y15" s="19">
        <f>'5. Bilan 2023'!Z216</f>
        <v>4711256.0600000005</v>
      </c>
      <c r="Z15" s="19">
        <f>'5. Bilan 2023'!AA216</f>
        <v>15665171.51</v>
      </c>
      <c r="AA15" s="19">
        <f>'5. Bilan 2023'!AB216</f>
        <v>1090634.4099999999</v>
      </c>
      <c r="AB15" s="19">
        <f>'5. Bilan 2023'!AC216</f>
        <v>551237.42999999993</v>
      </c>
      <c r="AC15" s="19">
        <f>'5. Bilan 2023'!AD216</f>
        <v>581647.9800000001</v>
      </c>
      <c r="AD15" s="19">
        <f>'5. Bilan 2023'!AE216</f>
        <v>1032492.21</v>
      </c>
      <c r="AE15" s="19">
        <f>'5. Bilan 2023'!AF216</f>
        <v>4519001.37</v>
      </c>
      <c r="AF15" s="19">
        <f>'5. Bilan 2023'!AG216</f>
        <v>7685794.7699999996</v>
      </c>
      <c r="AG15" s="19">
        <f>'5. Bilan 2023'!AH216</f>
        <v>2209258.59</v>
      </c>
      <c r="AH15" s="19">
        <f>'5. Bilan 2023'!AI216</f>
        <v>1121985.9300000002</v>
      </c>
      <c r="AI15" s="19">
        <f>'5. Bilan 2023'!AJ216</f>
        <v>1367220.23</v>
      </c>
      <c r="AJ15" s="19">
        <f>'5. Bilan 2023'!AK216</f>
        <v>1248446.46</v>
      </c>
      <c r="AK15" s="19">
        <f>'5. Bilan 2023'!AL216</f>
        <v>3451846.7399999998</v>
      </c>
      <c r="AL15" s="19">
        <f>'5. Bilan 2023'!AM216</f>
        <v>2621933.09</v>
      </c>
      <c r="AM15" s="19">
        <f>'5. Bilan 2023'!AN216</f>
        <v>1043660.14</v>
      </c>
      <c r="AN15" s="19">
        <f>'5. Bilan 2023'!AO216</f>
        <v>9447073.5999999996</v>
      </c>
      <c r="AO15" s="19">
        <f>'5. Bilan 2023'!AP216</f>
        <v>1316921.74</v>
      </c>
      <c r="AP15" s="19">
        <f>'5. Bilan 2023'!AQ216</f>
        <v>1201638.7799999998</v>
      </c>
      <c r="AQ15" s="19">
        <f>'5. Bilan 2023'!AR216</f>
        <v>7572979.3200000003</v>
      </c>
      <c r="AR15" s="19">
        <f>'5. Bilan 2023'!AS216</f>
        <v>258088.52000000002</v>
      </c>
      <c r="AS15" s="19">
        <f>'5. Bilan 2023'!AT216</f>
        <v>453199.33999999997</v>
      </c>
      <c r="AT15" s="19">
        <f>'5. Bilan 2023'!AU216</f>
        <v>2936064.3200000003</v>
      </c>
      <c r="AU15" s="19">
        <f>'5. Bilan 2023'!AV216</f>
        <v>4891953.6399999997</v>
      </c>
      <c r="AV15" s="19">
        <f>'5. Bilan 2023'!AW216</f>
        <v>630647.31000000006</v>
      </c>
      <c r="AW15" s="19">
        <f>'5. Bilan 2023'!AX216</f>
        <v>1518541.6800000002</v>
      </c>
      <c r="AX15" s="19">
        <f>'5. Bilan 2023'!AY216</f>
        <v>97902.75999999998</v>
      </c>
      <c r="AY15" s="19">
        <f>'5. Bilan 2023'!AZ216</f>
        <v>2013578.9300000002</v>
      </c>
      <c r="AZ15" s="19">
        <f>'5. Bilan 2023'!BA216</f>
        <v>1476780.16</v>
      </c>
      <c r="BA15" s="19">
        <f>'5. Bilan 2023'!BB216</f>
        <v>2907224.8</v>
      </c>
      <c r="BB15" s="19">
        <f>'5. Bilan 2023'!BC216</f>
        <v>328740.39</v>
      </c>
      <c r="BC15" s="19">
        <f>'5. Bilan 2023'!BD216</f>
        <v>847188.93</v>
      </c>
      <c r="BD15" s="19">
        <f>'5. Bilan 2023'!BE216</f>
        <v>107817183.69000003</v>
      </c>
      <c r="BE15" s="19">
        <f>'5. Bilan 2023'!BF216</f>
        <v>18519776.409999996</v>
      </c>
      <c r="BF15" s="19">
        <f>'5. Bilan 2023'!BG216</f>
        <v>43032996.629999995</v>
      </c>
      <c r="BG15" s="19">
        <f>'5. Bilan 2023'!BH216</f>
        <v>46264410.649999991</v>
      </c>
    </row>
    <row r="16" spans="1:59" x14ac:dyDescent="0.2">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row>
    <row r="17" spans="1:59" ht="20.25" x14ac:dyDescent="0.3">
      <c r="A17" s="21">
        <v>3</v>
      </c>
      <c r="B17" s="21"/>
      <c r="C17" s="21"/>
      <c r="D17" s="21" t="s">
        <v>59</v>
      </c>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row>
    <row r="18" spans="1:59" ht="15" x14ac:dyDescent="0.25">
      <c r="B18" s="16"/>
      <c r="C18" s="17">
        <v>30</v>
      </c>
      <c r="D18" s="17" t="s">
        <v>272</v>
      </c>
      <c r="E18" s="135">
        <f>'4.1 Comptes 2023 natures'!E6</f>
        <v>482187.44999999995</v>
      </c>
      <c r="F18" s="135">
        <f>'4.1 Comptes 2023 natures'!F6</f>
        <v>51802.35</v>
      </c>
      <c r="G18" s="135">
        <f>'4.1 Comptes 2023 natures'!G6</f>
        <v>131921.65000000002</v>
      </c>
      <c r="H18" s="135">
        <f>'4.1 Comptes 2023 natures'!H6</f>
        <v>291460.84999999998</v>
      </c>
      <c r="I18" s="135">
        <f>'4.1 Comptes 2023 natures'!I6</f>
        <v>2888125.87</v>
      </c>
      <c r="J18" s="135">
        <f>'4.1 Comptes 2023 natures'!J6</f>
        <v>3034162.3200000003</v>
      </c>
      <c r="K18" s="135">
        <f>'4.1 Comptes 2023 natures'!K6</f>
        <v>1141069.6000000001</v>
      </c>
      <c r="L18" s="135">
        <f>'4.1 Comptes 2023 natures'!L6</f>
        <v>25458251.550000001</v>
      </c>
      <c r="M18" s="135">
        <f>'4.1 Comptes 2023 natures'!M6</f>
        <v>1264390.3999999999</v>
      </c>
      <c r="N18" s="135">
        <f>'4.1 Comptes 2023 natures'!N6</f>
        <v>61677.939999999995</v>
      </c>
      <c r="O18" s="135">
        <f>'4.1 Comptes 2023 natures'!O6</f>
        <v>4084459.27</v>
      </c>
      <c r="P18" s="135">
        <f>'4.1 Comptes 2023 natures'!P6</f>
        <v>211434.19999999998</v>
      </c>
      <c r="Q18" s="135">
        <f>'4.1 Comptes 2023 natures'!Q6</f>
        <v>72370.8</v>
      </c>
      <c r="R18" s="135">
        <f>'4.1 Comptes 2023 natures'!R6</f>
        <v>238097</v>
      </c>
      <c r="S18" s="135">
        <f>'4.1 Comptes 2023 natures'!S6</f>
        <v>148861.20000000001</v>
      </c>
      <c r="T18" s="135">
        <f>'4.1 Comptes 2023 natures'!T6</f>
        <v>321731.10000000003</v>
      </c>
      <c r="U18" s="135">
        <f>'4.1 Comptes 2023 natures'!U6</f>
        <v>116955.77999999998</v>
      </c>
      <c r="V18" s="135">
        <f>'4.1 Comptes 2023 natures'!V6</f>
        <v>308042.64999999997</v>
      </c>
      <c r="W18" s="135">
        <f>'4.1 Comptes 2023 natures'!W6</f>
        <v>2429350.5500000003</v>
      </c>
      <c r="X18" s="135">
        <f>'4.1 Comptes 2023 natures'!X6</f>
        <v>137872.9</v>
      </c>
      <c r="Y18" s="135">
        <f>'4.1 Comptes 2023 natures'!Y6</f>
        <v>1411551.9000000001</v>
      </c>
      <c r="Z18" s="135">
        <f>'4.1 Comptes 2023 natures'!Z6</f>
        <v>1958979.4599999997</v>
      </c>
      <c r="AA18" s="135">
        <f>'4.1 Comptes 2023 natures'!AA6</f>
        <v>68982.7</v>
      </c>
      <c r="AB18" s="135">
        <f>'4.1 Comptes 2023 natures'!AB6</f>
        <v>401509.8</v>
      </c>
      <c r="AC18" s="135">
        <f>'4.1 Comptes 2023 natures'!AC6</f>
        <v>521343.35000000009</v>
      </c>
      <c r="AD18" s="135">
        <f>'4.1 Comptes 2023 natures'!AD6</f>
        <v>496186.2</v>
      </c>
      <c r="AE18" s="135">
        <f>'4.1 Comptes 2023 natures'!AE6</f>
        <v>402877.42</v>
      </c>
      <c r="AF18" s="135">
        <f>'4.1 Comptes 2023 natures'!AF6</f>
        <v>1063186.3</v>
      </c>
      <c r="AG18" s="135">
        <f>'4.1 Comptes 2023 natures'!AG6</f>
        <v>2035370.5</v>
      </c>
      <c r="AH18" s="135">
        <f>'4.1 Comptes 2023 natures'!AH6</f>
        <v>100622.25000000001</v>
      </c>
      <c r="AI18" s="135">
        <f>'4.1 Comptes 2023 natures'!AI6</f>
        <v>69322.899999999994</v>
      </c>
      <c r="AJ18" s="135">
        <f>'4.1 Comptes 2023 natures'!AJ6</f>
        <v>757870.07000000007</v>
      </c>
      <c r="AK18" s="135">
        <f>'4.1 Comptes 2023 natures'!AK6</f>
        <v>650342.94999999995</v>
      </c>
      <c r="AL18" s="135">
        <f>'4.1 Comptes 2023 natures'!AL6</f>
        <v>567185.91</v>
      </c>
      <c r="AM18" s="135">
        <f>'4.1 Comptes 2023 natures'!AM6</f>
        <v>73288.710000000006</v>
      </c>
      <c r="AN18" s="135">
        <f>'4.1 Comptes 2023 natures'!AN6</f>
        <v>1419442.5500000003</v>
      </c>
      <c r="AO18" s="135">
        <f>'4.1 Comptes 2023 natures'!AO6</f>
        <v>964765.13</v>
      </c>
      <c r="AP18" s="135">
        <f>'4.1 Comptes 2023 natures'!AP6</f>
        <v>239972.35</v>
      </c>
      <c r="AQ18" s="135">
        <f>'4.1 Comptes 2023 natures'!AQ6</f>
        <v>1429933.2000000002</v>
      </c>
      <c r="AR18" s="135">
        <f>'4.1 Comptes 2023 natures'!AR6</f>
        <v>477966.14999999997</v>
      </c>
      <c r="AS18" s="135">
        <f>'4.1 Comptes 2023 natures'!AS6</f>
        <v>572261.65</v>
      </c>
      <c r="AT18" s="135">
        <f>'4.1 Comptes 2023 natures'!AT6</f>
        <v>110596.92</v>
      </c>
      <c r="AU18" s="135">
        <f>'4.1 Comptes 2023 natures'!AU6</f>
        <v>1121975.3</v>
      </c>
      <c r="AV18" s="135">
        <f>'4.1 Comptes 2023 natures'!AV6</f>
        <v>527972.41</v>
      </c>
      <c r="AW18" s="135">
        <f>'4.1 Comptes 2023 natures'!AW6</f>
        <v>146684.51999999999</v>
      </c>
      <c r="AX18" s="135">
        <f>'4.1 Comptes 2023 natures'!AX6</f>
        <v>147970.4</v>
      </c>
      <c r="AY18" s="135">
        <f>'4.1 Comptes 2023 natures'!AY6</f>
        <v>902010.81</v>
      </c>
      <c r="AZ18" s="135">
        <f>'4.1 Comptes 2023 natures'!AZ6</f>
        <v>143884.9</v>
      </c>
      <c r="BA18" s="135">
        <f>'4.1 Comptes 2023 natures'!BA6</f>
        <v>1302379.3500000001</v>
      </c>
      <c r="BB18" s="135">
        <f>'4.1 Comptes 2023 natures'!BB6</f>
        <v>11343010.379999999</v>
      </c>
      <c r="BC18" s="135">
        <f>'4.1 Comptes 2023 natures'!BC6</f>
        <v>335212.45</v>
      </c>
      <c r="BD18" s="135">
        <f>'4.1 Comptes 2023 natures'!BD6</f>
        <v>74638884.320000023</v>
      </c>
      <c r="BE18" s="135">
        <f>'4.1 Comptes 2023 natures'!BE6</f>
        <v>42736352.530000009</v>
      </c>
      <c r="BF18" s="135">
        <f>'4.1 Comptes 2023 natures'!BF6</f>
        <v>8667805.6800000016</v>
      </c>
      <c r="BG18" s="135">
        <f>'4.1 Comptes 2023 natures'!BG6</f>
        <v>23234726.109999999</v>
      </c>
    </row>
    <row r="19" spans="1:59" x14ac:dyDescent="0.2">
      <c r="C19" s="8">
        <v>31</v>
      </c>
      <c r="D19" s="8" t="s">
        <v>273</v>
      </c>
      <c r="E19" s="19">
        <f>'4.1 Comptes 2023 natures'!E16</f>
        <v>597375.05000000005</v>
      </c>
      <c r="F19" s="19">
        <f>'4.1 Comptes 2023 natures'!F16</f>
        <v>201802.98</v>
      </c>
      <c r="G19" s="19">
        <f>'4.1 Comptes 2023 natures'!G16</f>
        <v>171913.55999999997</v>
      </c>
      <c r="H19" s="19">
        <f>'4.1 Comptes 2023 natures'!H16</f>
        <v>537755.79999999993</v>
      </c>
      <c r="I19" s="19">
        <f>'4.1 Comptes 2023 natures'!I16</f>
        <v>4231856.3100000005</v>
      </c>
      <c r="J19" s="19">
        <f>'4.1 Comptes 2023 natures'!J16</f>
        <v>3175860.9299999992</v>
      </c>
      <c r="K19" s="19">
        <f>'4.1 Comptes 2023 natures'!K16</f>
        <v>1846362.1099999999</v>
      </c>
      <c r="L19" s="19">
        <f>'4.1 Comptes 2023 natures'!L16</f>
        <v>37726336.370000005</v>
      </c>
      <c r="M19" s="19">
        <f>'4.1 Comptes 2023 natures'!M16</f>
        <v>2482281.44</v>
      </c>
      <c r="N19" s="19">
        <f>'4.1 Comptes 2023 natures'!N16</f>
        <v>146137.36999999997</v>
      </c>
      <c r="O19" s="19">
        <f>'4.1 Comptes 2023 natures'!O16</f>
        <v>4676095.8199999994</v>
      </c>
      <c r="P19" s="19">
        <f>'4.1 Comptes 2023 natures'!P16</f>
        <v>355868.48</v>
      </c>
      <c r="Q19" s="19">
        <f>'4.1 Comptes 2023 natures'!Q16</f>
        <v>63085.299999999988</v>
      </c>
      <c r="R19" s="19">
        <f>'4.1 Comptes 2023 natures'!R16</f>
        <v>268150.38</v>
      </c>
      <c r="S19" s="19">
        <f>'4.1 Comptes 2023 natures'!S16</f>
        <v>330125.55000000005</v>
      </c>
      <c r="T19" s="19">
        <f>'4.1 Comptes 2023 natures'!T16</f>
        <v>987687.93</v>
      </c>
      <c r="U19" s="19">
        <f>'4.1 Comptes 2023 natures'!U16</f>
        <v>227211.72999999998</v>
      </c>
      <c r="V19" s="19">
        <f>'4.1 Comptes 2023 natures'!V16</f>
        <v>511894.79000000004</v>
      </c>
      <c r="W19" s="19">
        <f>'4.1 Comptes 2023 natures'!W16</f>
        <v>1944484.9100000001</v>
      </c>
      <c r="X19" s="19">
        <f>'4.1 Comptes 2023 natures'!X16</f>
        <v>450152.68000000005</v>
      </c>
      <c r="Y19" s="19">
        <f>'4.1 Comptes 2023 natures'!Y16</f>
        <v>1322569.1199999999</v>
      </c>
      <c r="Z19" s="19">
        <f>'4.1 Comptes 2023 natures'!Z16</f>
        <v>2587484.5500000003</v>
      </c>
      <c r="AA19" s="19">
        <f>'4.1 Comptes 2023 natures'!AA16</f>
        <v>201905.41</v>
      </c>
      <c r="AB19" s="19">
        <f>'4.1 Comptes 2023 natures'!AB16</f>
        <v>682213.06000000017</v>
      </c>
      <c r="AC19" s="19">
        <f>'4.1 Comptes 2023 natures'!AC16</f>
        <v>880760.37</v>
      </c>
      <c r="AD19" s="19">
        <f>'4.1 Comptes 2023 natures'!AD16</f>
        <v>645006.85</v>
      </c>
      <c r="AE19" s="19">
        <f>'4.1 Comptes 2023 natures'!AE16</f>
        <v>1203098.3399999999</v>
      </c>
      <c r="AF19" s="19">
        <f>'4.1 Comptes 2023 natures'!AF16</f>
        <v>2249442.61</v>
      </c>
      <c r="AG19" s="19">
        <f>'4.1 Comptes 2023 natures'!AG16</f>
        <v>2853152.99</v>
      </c>
      <c r="AH19" s="19">
        <f>'4.1 Comptes 2023 natures'!AH16</f>
        <v>324173.99000000005</v>
      </c>
      <c r="AI19" s="19">
        <f>'4.1 Comptes 2023 natures'!AI16</f>
        <v>130944.41</v>
      </c>
      <c r="AJ19" s="19">
        <f>'4.1 Comptes 2023 natures'!AJ16</f>
        <v>1171439.29</v>
      </c>
      <c r="AK19" s="19">
        <f>'4.1 Comptes 2023 natures'!AK16</f>
        <v>1249615.24</v>
      </c>
      <c r="AL19" s="19">
        <f>'4.1 Comptes 2023 natures'!AL16</f>
        <v>1218430.22</v>
      </c>
      <c r="AM19" s="19">
        <f>'4.1 Comptes 2023 natures'!AM16</f>
        <v>221567.4</v>
      </c>
      <c r="AN19" s="19">
        <f>'4.1 Comptes 2023 natures'!AN16</f>
        <v>1669322.6300000001</v>
      </c>
      <c r="AO19" s="19">
        <f>'4.1 Comptes 2023 natures'!AO16</f>
        <v>718404.63</v>
      </c>
      <c r="AP19" s="19">
        <f>'4.1 Comptes 2023 natures'!AP16</f>
        <v>468990.31999999995</v>
      </c>
      <c r="AQ19" s="19">
        <f>'4.1 Comptes 2023 natures'!AQ16</f>
        <v>1639578.21</v>
      </c>
      <c r="AR19" s="19">
        <f>'4.1 Comptes 2023 natures'!AR16</f>
        <v>649716.13</v>
      </c>
      <c r="AS19" s="19">
        <f>'4.1 Comptes 2023 natures'!AS16</f>
        <v>988121.3</v>
      </c>
      <c r="AT19" s="19">
        <f>'4.1 Comptes 2023 natures'!AT16</f>
        <v>81966.03</v>
      </c>
      <c r="AU19" s="19">
        <f>'4.1 Comptes 2023 natures'!AU16</f>
        <v>1617327.95</v>
      </c>
      <c r="AV19" s="19">
        <f>'4.1 Comptes 2023 natures'!AV16</f>
        <v>501920.98</v>
      </c>
      <c r="AW19" s="19">
        <f>'4.1 Comptes 2023 natures'!AW16</f>
        <v>305832.90999999997</v>
      </c>
      <c r="AX19" s="19">
        <f>'4.1 Comptes 2023 natures'!AX16</f>
        <v>378103.61</v>
      </c>
      <c r="AY19" s="19">
        <f>'4.1 Comptes 2023 natures'!AY16</f>
        <v>1241389.77</v>
      </c>
      <c r="AZ19" s="19">
        <f>'4.1 Comptes 2023 natures'!AZ16</f>
        <v>493194.06000000006</v>
      </c>
      <c r="BA19" s="19">
        <f>'4.1 Comptes 2023 natures'!BA16</f>
        <v>1047635.3100000002</v>
      </c>
      <c r="BB19" s="19">
        <f>'4.1 Comptes 2023 natures'!BB16</f>
        <v>6710284.5800000001</v>
      </c>
      <c r="BC19" s="19">
        <f>'4.1 Comptes 2023 natures'!BC16</f>
        <v>490035.88</v>
      </c>
      <c r="BD19" s="19">
        <f>'4.1 Comptes 2023 natures'!BD16</f>
        <v>96876067.639999971</v>
      </c>
      <c r="BE19" s="19">
        <f>'4.1 Comptes 2023 natures'!BE16</f>
        <v>60482286.81000001</v>
      </c>
      <c r="BF19" s="19">
        <f>'4.1 Comptes 2023 natures'!BF16</f>
        <v>13530904.379999999</v>
      </c>
      <c r="BG19" s="19">
        <f>'4.1 Comptes 2023 natures'!BG16</f>
        <v>22862876.450000003</v>
      </c>
    </row>
    <row r="20" spans="1:59" x14ac:dyDescent="0.2">
      <c r="C20" s="8">
        <v>3180</v>
      </c>
      <c r="D20" s="8" t="s">
        <v>92</v>
      </c>
      <c r="E20" s="135">
        <f>'4.1 Comptes 2023 natures'!E179</f>
        <v>16636</v>
      </c>
      <c r="F20" s="135">
        <f>'4.1 Comptes 2023 natures'!F179</f>
        <v>-2186.5500000000002</v>
      </c>
      <c r="G20" s="135">
        <f>'4.1 Comptes 2023 natures'!G179</f>
        <v>-28380.41</v>
      </c>
      <c r="H20" s="135">
        <f>'4.1 Comptes 2023 natures'!H179</f>
        <v>0</v>
      </c>
      <c r="I20" s="135">
        <f>'4.1 Comptes 2023 natures'!I179</f>
        <v>199596.81</v>
      </c>
      <c r="J20" s="135">
        <f>'4.1 Comptes 2023 natures'!J179</f>
        <v>97571.78</v>
      </c>
      <c r="K20" s="135">
        <f>'4.1 Comptes 2023 natures'!K179</f>
        <v>72987.14</v>
      </c>
      <c r="L20" s="135">
        <f>'4.1 Comptes 2023 natures'!L179</f>
        <v>467592.63</v>
      </c>
      <c r="M20" s="135">
        <f>'4.1 Comptes 2023 natures'!M179</f>
        <v>19395.66</v>
      </c>
      <c r="N20" s="135">
        <f>'4.1 Comptes 2023 natures'!N179</f>
        <v>31.86</v>
      </c>
      <c r="O20" s="135">
        <f>'4.1 Comptes 2023 natures'!O179</f>
        <v>-2388</v>
      </c>
      <c r="P20" s="135">
        <f>'4.1 Comptes 2023 natures'!P179</f>
        <v>17120.59</v>
      </c>
      <c r="Q20" s="135">
        <f>'4.1 Comptes 2023 natures'!Q179</f>
        <v>3.34</v>
      </c>
      <c r="R20" s="135">
        <f>'4.1 Comptes 2023 natures'!R179</f>
        <v>11573.61</v>
      </c>
      <c r="S20" s="135">
        <f>'4.1 Comptes 2023 natures'!S179</f>
        <v>12251.28</v>
      </c>
      <c r="T20" s="135">
        <f>'4.1 Comptes 2023 natures'!T179</f>
        <v>15858.65</v>
      </c>
      <c r="U20" s="135">
        <f>'4.1 Comptes 2023 natures'!U179</f>
        <v>479.68</v>
      </c>
      <c r="V20" s="135">
        <f>'4.1 Comptes 2023 natures'!V179</f>
        <v>17378.080000000002</v>
      </c>
      <c r="W20" s="135">
        <f>'4.1 Comptes 2023 natures'!W179</f>
        <v>117433.52</v>
      </c>
      <c r="X20" s="135">
        <f>'4.1 Comptes 2023 natures'!X179</f>
        <v>7275.45</v>
      </c>
      <c r="Y20" s="135">
        <f>'4.1 Comptes 2023 natures'!Y179</f>
        <v>63379.95</v>
      </c>
      <c r="Z20" s="135">
        <f>'4.1 Comptes 2023 natures'!Z179</f>
        <v>6535.23</v>
      </c>
      <c r="AA20" s="135">
        <f>'4.1 Comptes 2023 natures'!AA179</f>
        <v>1881.45</v>
      </c>
      <c r="AB20" s="135">
        <f>'4.1 Comptes 2023 natures'!AB179</f>
        <v>-54875.09</v>
      </c>
      <c r="AC20" s="135">
        <f>'4.1 Comptes 2023 natures'!AC179</f>
        <v>9273.68</v>
      </c>
      <c r="AD20" s="135">
        <f>'4.1 Comptes 2023 natures'!AD179</f>
        <v>900</v>
      </c>
      <c r="AE20" s="135">
        <f>'4.1 Comptes 2023 natures'!AE179</f>
        <v>62202.97</v>
      </c>
      <c r="AF20" s="135">
        <f>'4.1 Comptes 2023 natures'!AF179</f>
        <v>22920</v>
      </c>
      <c r="AG20" s="135">
        <f>'4.1 Comptes 2023 natures'!AG179</f>
        <v>-8519.08</v>
      </c>
      <c r="AH20" s="135">
        <f>'4.1 Comptes 2023 natures'!AH179</f>
        <v>1220.3499999999999</v>
      </c>
      <c r="AI20" s="135">
        <f>'4.1 Comptes 2023 natures'!AI179</f>
        <v>3402.65</v>
      </c>
      <c r="AJ20" s="135">
        <f>'4.1 Comptes 2023 natures'!AJ179</f>
        <v>45419.49</v>
      </c>
      <c r="AK20" s="135">
        <f>'4.1 Comptes 2023 natures'!AK179</f>
        <v>32400.16</v>
      </c>
      <c r="AL20" s="135">
        <f>'4.1 Comptes 2023 natures'!AL179</f>
        <v>65229.57</v>
      </c>
      <c r="AM20" s="135">
        <f>'4.1 Comptes 2023 natures'!AM179</f>
        <v>25746.400000000001</v>
      </c>
      <c r="AN20" s="135">
        <f>'4.1 Comptes 2023 natures'!AN179</f>
        <v>78032.36</v>
      </c>
      <c r="AO20" s="135">
        <f>'4.1 Comptes 2023 natures'!AO179</f>
        <v>44995.58</v>
      </c>
      <c r="AP20" s="135">
        <f>'4.1 Comptes 2023 natures'!AP179</f>
        <v>19629.169999999998</v>
      </c>
      <c r="AQ20" s="135">
        <f>'4.1 Comptes 2023 natures'!AQ179</f>
        <v>52949.59</v>
      </c>
      <c r="AR20" s="135">
        <f>'4.1 Comptes 2023 natures'!AR179</f>
        <v>34217.410000000003</v>
      </c>
      <c r="AS20" s="135">
        <f>'4.1 Comptes 2023 natures'!AS179</f>
        <v>-17784.259999999998</v>
      </c>
      <c r="AT20" s="135">
        <f>'4.1 Comptes 2023 natures'!AT179</f>
        <v>-178887.98</v>
      </c>
      <c r="AU20" s="135">
        <f>'4.1 Comptes 2023 natures'!AU179</f>
        <v>7180.76</v>
      </c>
      <c r="AV20" s="135">
        <f>'4.1 Comptes 2023 natures'!AV179</f>
        <v>14633.62</v>
      </c>
      <c r="AW20" s="135">
        <f>'4.1 Comptes 2023 natures'!AW179</f>
        <v>6639.25</v>
      </c>
      <c r="AX20" s="135">
        <f>'4.1 Comptes 2023 natures'!AX179</f>
        <v>22781.15</v>
      </c>
      <c r="AY20" s="135">
        <f>'4.1 Comptes 2023 natures'!AY179</f>
        <v>55051.59</v>
      </c>
      <c r="AZ20" s="135">
        <f>'4.1 Comptes 2023 natures'!AZ179</f>
        <v>20416.88</v>
      </c>
      <c r="BA20" s="135">
        <f>'4.1 Comptes 2023 natures'!BA179</f>
        <v>13064.78</v>
      </c>
      <c r="BB20" s="135">
        <f>'4.1 Comptes 2023 natures'!BB179</f>
        <v>328199.05</v>
      </c>
      <c r="BC20" s="135">
        <f>'4.1 Comptes 2023 natures'!BC179</f>
        <v>78797.19</v>
      </c>
      <c r="BD20" s="135">
        <f>'4.1 Comptes 2023 natures'!BD179</f>
        <v>1897264.9899999998</v>
      </c>
      <c r="BE20" s="135">
        <f>'4.1 Comptes 2023 natures'!BE179</f>
        <v>1032955.67</v>
      </c>
      <c r="BF20" s="135">
        <f>'4.1 Comptes 2023 natures'!BF179</f>
        <v>115597.55999999998</v>
      </c>
      <c r="BG20" s="135">
        <f>'4.1 Comptes 2023 natures'!BG179</f>
        <v>748711.76</v>
      </c>
    </row>
    <row r="21" spans="1:59" x14ac:dyDescent="0.2">
      <c r="C21" s="8">
        <v>33</v>
      </c>
      <c r="D21" s="8" t="s">
        <v>94</v>
      </c>
      <c r="E21" s="135">
        <f>'4.1 Comptes 2023 natures'!E28</f>
        <v>271969.69</v>
      </c>
      <c r="F21" s="135">
        <f>'4.1 Comptes 2023 natures'!F28</f>
        <v>89135</v>
      </c>
      <c r="G21" s="135">
        <f>'4.1 Comptes 2023 natures'!G28</f>
        <v>78515.149999999994</v>
      </c>
      <c r="H21" s="135">
        <f>'4.1 Comptes 2023 natures'!H28</f>
        <v>135852.9</v>
      </c>
      <c r="I21" s="135">
        <f>'4.1 Comptes 2023 natures'!I28</f>
        <v>1007048.9</v>
      </c>
      <c r="J21" s="135">
        <f>'4.1 Comptes 2023 natures'!J28</f>
        <v>1027120.2799999999</v>
      </c>
      <c r="K21" s="135">
        <f>'4.1 Comptes 2023 natures'!K28</f>
        <v>584488.29999999993</v>
      </c>
      <c r="L21" s="135">
        <f>'4.1 Comptes 2023 natures'!L28</f>
        <v>6377739.1200000001</v>
      </c>
      <c r="M21" s="135">
        <f>'4.1 Comptes 2023 natures'!M28</f>
        <v>408424.05</v>
      </c>
      <c r="N21" s="135">
        <f>'4.1 Comptes 2023 natures'!N28</f>
        <v>61045.22</v>
      </c>
      <c r="O21" s="135">
        <f>'4.1 Comptes 2023 natures'!O28</f>
        <v>1500455.25</v>
      </c>
      <c r="P21" s="135">
        <f>'4.1 Comptes 2023 natures'!P28</f>
        <v>128942.3</v>
      </c>
      <c r="Q21" s="135">
        <f>'4.1 Comptes 2023 natures'!Q28</f>
        <v>15734</v>
      </c>
      <c r="R21" s="135">
        <f>'4.1 Comptes 2023 natures'!R28</f>
        <v>66919.41</v>
      </c>
      <c r="S21" s="135">
        <f>'4.1 Comptes 2023 natures'!S28</f>
        <v>76090.75</v>
      </c>
      <c r="T21" s="135">
        <f>'4.1 Comptes 2023 natures'!T28</f>
        <v>141025.94</v>
      </c>
      <c r="U21" s="135">
        <f>'4.1 Comptes 2023 natures'!U28</f>
        <v>40503.31</v>
      </c>
      <c r="V21" s="135">
        <f>'4.1 Comptes 2023 natures'!V28</f>
        <v>131731.53</v>
      </c>
      <c r="W21" s="135">
        <f>'4.1 Comptes 2023 natures'!W28</f>
        <v>967493.06</v>
      </c>
      <c r="X21" s="135">
        <f>'4.1 Comptes 2023 natures'!X28</f>
        <v>82974</v>
      </c>
      <c r="Y21" s="135">
        <f>'4.1 Comptes 2023 natures'!Y28</f>
        <v>313279.90000000002</v>
      </c>
      <c r="Z21" s="135">
        <f>'4.1 Comptes 2023 natures'!Z28</f>
        <v>511059.05</v>
      </c>
      <c r="AA21" s="135">
        <f>'4.1 Comptes 2023 natures'!AA28</f>
        <v>13768.27</v>
      </c>
      <c r="AB21" s="135">
        <f>'4.1 Comptes 2023 natures'!AB28</f>
        <v>101265.76999999999</v>
      </c>
      <c r="AC21" s="135">
        <f>'4.1 Comptes 2023 natures'!AC28</f>
        <v>343843.12</v>
      </c>
      <c r="AD21" s="135">
        <f>'4.1 Comptes 2023 natures'!AD28</f>
        <v>163879</v>
      </c>
      <c r="AE21" s="135">
        <f>'4.1 Comptes 2023 natures'!AE28</f>
        <v>106426.61</v>
      </c>
      <c r="AF21" s="135">
        <f>'4.1 Comptes 2023 natures'!AF28</f>
        <v>510622.45</v>
      </c>
      <c r="AG21" s="135">
        <f>'4.1 Comptes 2023 natures'!AG28</f>
        <v>851938.85</v>
      </c>
      <c r="AH21" s="135">
        <f>'4.1 Comptes 2023 natures'!AH28</f>
        <v>71808.899999999994</v>
      </c>
      <c r="AI21" s="135">
        <f>'4.1 Comptes 2023 natures'!AI28</f>
        <v>15168.64</v>
      </c>
      <c r="AJ21" s="135">
        <f>'4.1 Comptes 2023 natures'!AJ28</f>
        <v>438356.4</v>
      </c>
      <c r="AK21" s="135">
        <f>'4.1 Comptes 2023 natures'!AK28</f>
        <v>353864.8</v>
      </c>
      <c r="AL21" s="135">
        <f>'4.1 Comptes 2023 natures'!AL28</f>
        <v>303565</v>
      </c>
      <c r="AM21" s="135">
        <f>'4.1 Comptes 2023 natures'!AM28</f>
        <v>42916</v>
      </c>
      <c r="AN21" s="135">
        <f>'4.1 Comptes 2023 natures'!AN28</f>
        <v>643825.06999999995</v>
      </c>
      <c r="AO21" s="135">
        <f>'4.1 Comptes 2023 natures'!AO28</f>
        <v>109400</v>
      </c>
      <c r="AP21" s="135">
        <f>'4.1 Comptes 2023 natures'!AP28</f>
        <v>446741.61</v>
      </c>
      <c r="AQ21" s="135">
        <f>'4.1 Comptes 2023 natures'!AQ28</f>
        <v>211824.45</v>
      </c>
      <c r="AR21" s="135">
        <f>'4.1 Comptes 2023 natures'!AR28</f>
        <v>155650</v>
      </c>
      <c r="AS21" s="135">
        <f>'4.1 Comptes 2023 natures'!AS28</f>
        <v>254126</v>
      </c>
      <c r="AT21" s="135">
        <f>'4.1 Comptes 2023 natures'!AT28</f>
        <v>70603.75</v>
      </c>
      <c r="AU21" s="135">
        <f>'4.1 Comptes 2023 natures'!AU28</f>
        <v>748621.20000000007</v>
      </c>
      <c r="AV21" s="135">
        <f>'4.1 Comptes 2023 natures'!AV28</f>
        <v>118961.96</v>
      </c>
      <c r="AW21" s="135">
        <f>'4.1 Comptes 2023 natures'!AW28</f>
        <v>78732.3</v>
      </c>
      <c r="AX21" s="135">
        <f>'4.1 Comptes 2023 natures'!AX28</f>
        <v>172965</v>
      </c>
      <c r="AY21" s="135">
        <f>'4.1 Comptes 2023 natures'!AY28</f>
        <v>576965.05000000005</v>
      </c>
      <c r="AZ21" s="135">
        <f>'4.1 Comptes 2023 natures'!AZ28</f>
        <v>99864.95</v>
      </c>
      <c r="BA21" s="135">
        <f>'4.1 Comptes 2023 natures'!BA28</f>
        <v>435547.35000000003</v>
      </c>
      <c r="BB21" s="135">
        <f>'4.1 Comptes 2023 natures'!BB28</f>
        <v>3232513.1399999997</v>
      </c>
      <c r="BC21" s="135">
        <f>'4.1 Comptes 2023 natures'!BC28</f>
        <v>92300</v>
      </c>
      <c r="BD21" s="135">
        <f>'4.1 Comptes 2023 natures'!BD28</f>
        <v>24783612.750000004</v>
      </c>
      <c r="BE21" s="135">
        <f>'4.1 Comptes 2023 natures'!BE28</f>
        <v>13110234.160000004</v>
      </c>
      <c r="BF21" s="135">
        <f>'4.1 Comptes 2023 natures'!BF28</f>
        <v>3086034.5600000005</v>
      </c>
      <c r="BG21" s="135">
        <f>'4.1 Comptes 2023 natures'!BG28</f>
        <v>8587344.0299999993</v>
      </c>
    </row>
    <row r="22" spans="1:59" x14ac:dyDescent="0.2">
      <c r="C22" s="8">
        <v>34</v>
      </c>
      <c r="D22" s="8" t="s">
        <v>97</v>
      </c>
      <c r="E22" s="135">
        <f>'4.1 Comptes 2023 natures'!E32</f>
        <v>156645.15</v>
      </c>
      <c r="F22" s="135">
        <f>'4.1 Comptes 2023 natures'!F32</f>
        <v>41407.5</v>
      </c>
      <c r="G22" s="135">
        <f>'4.1 Comptes 2023 natures'!G32</f>
        <v>71642.899999999994</v>
      </c>
      <c r="H22" s="135">
        <f>'4.1 Comptes 2023 natures'!H32</f>
        <v>75086.97</v>
      </c>
      <c r="I22" s="135">
        <f>'4.1 Comptes 2023 natures'!I32</f>
        <v>465914.24</v>
      </c>
      <c r="J22" s="135">
        <f>'4.1 Comptes 2023 natures'!J32</f>
        <v>363924.84</v>
      </c>
      <c r="K22" s="135">
        <f>'4.1 Comptes 2023 natures'!K32</f>
        <v>225427.17</v>
      </c>
      <c r="L22" s="135">
        <f>'4.1 Comptes 2023 natures'!L32</f>
        <v>3137578.96</v>
      </c>
      <c r="M22" s="135">
        <f>'4.1 Comptes 2023 natures'!M32</f>
        <v>71454.469999999987</v>
      </c>
      <c r="N22" s="135">
        <f>'4.1 Comptes 2023 natures'!N32</f>
        <v>6710.34</v>
      </c>
      <c r="O22" s="135">
        <f>'4.1 Comptes 2023 natures'!O32</f>
        <v>522748.54000000004</v>
      </c>
      <c r="P22" s="135">
        <f>'4.1 Comptes 2023 natures'!P32</f>
        <v>45785.06</v>
      </c>
      <c r="Q22" s="135">
        <f>'4.1 Comptes 2023 natures'!Q32</f>
        <v>10831.4</v>
      </c>
      <c r="R22" s="135">
        <f>'4.1 Comptes 2023 natures'!R32</f>
        <v>32937.9</v>
      </c>
      <c r="S22" s="135">
        <f>'4.1 Comptes 2023 natures'!S32</f>
        <v>68693.420000000013</v>
      </c>
      <c r="T22" s="135">
        <f>'4.1 Comptes 2023 natures'!T32</f>
        <v>79640.849999999991</v>
      </c>
      <c r="U22" s="135">
        <f>'4.1 Comptes 2023 natures'!U32</f>
        <v>26601.370000000003</v>
      </c>
      <c r="V22" s="135">
        <f>'4.1 Comptes 2023 natures'!V32</f>
        <v>43079.06</v>
      </c>
      <c r="W22" s="135">
        <f>'4.1 Comptes 2023 natures'!W32</f>
        <v>225667.03000000003</v>
      </c>
      <c r="X22" s="135">
        <f>'4.1 Comptes 2023 natures'!X32</f>
        <v>7580.37</v>
      </c>
      <c r="Y22" s="135">
        <f>'4.1 Comptes 2023 natures'!Y32</f>
        <v>136098.04999999999</v>
      </c>
      <c r="Z22" s="135">
        <f>'4.1 Comptes 2023 natures'!Z32</f>
        <v>19209.949999999997</v>
      </c>
      <c r="AA22" s="135">
        <f>'4.1 Comptes 2023 natures'!AA32</f>
        <v>16817.96</v>
      </c>
      <c r="AB22" s="135">
        <f>'4.1 Comptes 2023 natures'!AB32</f>
        <v>77250.570000000007</v>
      </c>
      <c r="AC22" s="135">
        <f>'4.1 Comptes 2023 natures'!AC32</f>
        <v>72852</v>
      </c>
      <c r="AD22" s="135">
        <f>'4.1 Comptes 2023 natures'!AD32</f>
        <v>45431.34</v>
      </c>
      <c r="AE22" s="135">
        <f>'4.1 Comptes 2023 natures'!AE32</f>
        <v>53681.71</v>
      </c>
      <c r="AF22" s="135">
        <f>'4.1 Comptes 2023 natures'!AF32</f>
        <v>217881.93</v>
      </c>
      <c r="AG22" s="135">
        <f>'4.1 Comptes 2023 natures'!AG32</f>
        <v>161021.28</v>
      </c>
      <c r="AH22" s="135">
        <f>'4.1 Comptes 2023 natures'!AH32</f>
        <v>20659.689999999999</v>
      </c>
      <c r="AI22" s="135">
        <f>'4.1 Comptes 2023 natures'!AI32</f>
        <v>23787.26</v>
      </c>
      <c r="AJ22" s="135">
        <f>'4.1 Comptes 2023 natures'!AJ32</f>
        <v>193072.96000000002</v>
      </c>
      <c r="AK22" s="135">
        <f>'4.1 Comptes 2023 natures'!AK32</f>
        <v>182401.51</v>
      </c>
      <c r="AL22" s="135">
        <f>'4.1 Comptes 2023 natures'!AL32</f>
        <v>165140.11999999997</v>
      </c>
      <c r="AM22" s="135">
        <f>'4.1 Comptes 2023 natures'!AM32</f>
        <v>20139.04</v>
      </c>
      <c r="AN22" s="135">
        <f>'4.1 Comptes 2023 natures'!AN32</f>
        <v>210422.44</v>
      </c>
      <c r="AO22" s="135">
        <f>'4.1 Comptes 2023 natures'!AO32</f>
        <v>104632.8</v>
      </c>
      <c r="AP22" s="135">
        <f>'4.1 Comptes 2023 natures'!AP32</f>
        <v>79824.19</v>
      </c>
      <c r="AQ22" s="135">
        <f>'4.1 Comptes 2023 natures'!AQ32</f>
        <v>253951.61</v>
      </c>
      <c r="AR22" s="135">
        <f>'4.1 Comptes 2023 natures'!AR32</f>
        <v>71889.08</v>
      </c>
      <c r="AS22" s="135">
        <f>'4.1 Comptes 2023 natures'!AS32</f>
        <v>153944.44</v>
      </c>
      <c r="AT22" s="135">
        <f>'4.1 Comptes 2023 natures'!AT32</f>
        <v>21291.29</v>
      </c>
      <c r="AU22" s="135">
        <f>'4.1 Comptes 2023 natures'!AU32</f>
        <v>221196.53</v>
      </c>
      <c r="AV22" s="135">
        <f>'4.1 Comptes 2023 natures'!AV32</f>
        <v>75014.080000000002</v>
      </c>
      <c r="AW22" s="135">
        <f>'4.1 Comptes 2023 natures'!AW32</f>
        <v>10117.4</v>
      </c>
      <c r="AX22" s="135">
        <f>'4.1 Comptes 2023 natures'!AX32</f>
        <v>16170.03</v>
      </c>
      <c r="AY22" s="135">
        <f>'4.1 Comptes 2023 natures'!AY32</f>
        <v>302800.28999999998</v>
      </c>
      <c r="AZ22" s="135">
        <f>'4.1 Comptes 2023 natures'!AZ32</f>
        <v>48153.61</v>
      </c>
      <c r="BA22" s="135">
        <f>'4.1 Comptes 2023 natures'!BA32</f>
        <v>154613.01999999999</v>
      </c>
      <c r="BB22" s="135">
        <f>'4.1 Comptes 2023 natures'!BB32</f>
        <v>1219904.48</v>
      </c>
      <c r="BC22" s="135">
        <f>'4.1 Comptes 2023 natures'!BC32</f>
        <v>69127.08</v>
      </c>
      <c r="BD22" s="135">
        <f>'4.1 Comptes 2023 natures'!BD32</f>
        <v>10097855.279999999</v>
      </c>
      <c r="BE22" s="135">
        <f>'4.1 Comptes 2023 natures'!BE32</f>
        <v>5671777.169999999</v>
      </c>
      <c r="BF22" s="135">
        <f>'4.1 Comptes 2023 natures'!BF32</f>
        <v>852272.11</v>
      </c>
      <c r="BG22" s="135">
        <f>'4.1 Comptes 2023 natures'!BG32</f>
        <v>3573806</v>
      </c>
    </row>
    <row r="23" spans="1:59" x14ac:dyDescent="0.2">
      <c r="C23" s="8">
        <v>340</v>
      </c>
      <c r="D23" s="8" t="s">
        <v>278</v>
      </c>
      <c r="E23" s="135">
        <f>'4.1 Comptes 2023 natures'!E33</f>
        <v>156645.15</v>
      </c>
      <c r="F23" s="135">
        <f>'4.1 Comptes 2023 natures'!F33</f>
        <v>30817.39</v>
      </c>
      <c r="G23" s="135">
        <f>'4.1 Comptes 2023 natures'!G33</f>
        <v>53361.35</v>
      </c>
      <c r="H23" s="135">
        <f>'4.1 Comptes 2023 natures'!H33</f>
        <v>60888.62</v>
      </c>
      <c r="I23" s="135">
        <f>'4.1 Comptes 2023 natures'!I33</f>
        <v>296135.36</v>
      </c>
      <c r="J23" s="135">
        <f>'4.1 Comptes 2023 natures'!J33</f>
        <v>322862.84000000003</v>
      </c>
      <c r="K23" s="135">
        <f>'4.1 Comptes 2023 natures'!K33</f>
        <v>155775.39000000001</v>
      </c>
      <c r="L23" s="135">
        <f>'4.1 Comptes 2023 natures'!L33</f>
        <v>2529551.12</v>
      </c>
      <c r="M23" s="135">
        <f>'4.1 Comptes 2023 natures'!M33</f>
        <v>56437.21</v>
      </c>
      <c r="N23" s="135">
        <f>'4.1 Comptes 2023 natures'!N33</f>
        <v>6710.34</v>
      </c>
      <c r="O23" s="135">
        <f>'4.1 Comptes 2023 natures'!O33</f>
        <v>450297.84</v>
      </c>
      <c r="P23" s="135">
        <f>'4.1 Comptes 2023 natures'!P33</f>
        <v>38594.86</v>
      </c>
      <c r="Q23" s="135">
        <f>'4.1 Comptes 2023 natures'!Q33</f>
        <v>8899.5</v>
      </c>
      <c r="R23" s="135">
        <f>'4.1 Comptes 2023 natures'!R33</f>
        <v>21426.75</v>
      </c>
      <c r="S23" s="135">
        <f>'4.1 Comptes 2023 natures'!S33</f>
        <v>66129.070000000007</v>
      </c>
      <c r="T23" s="135">
        <f>'4.1 Comptes 2023 natures'!T33</f>
        <v>41844.199999999997</v>
      </c>
      <c r="U23" s="135">
        <f>'4.1 Comptes 2023 natures'!U33</f>
        <v>16995.22</v>
      </c>
      <c r="V23" s="135">
        <f>'4.1 Comptes 2023 natures'!V33</f>
        <v>34228.76</v>
      </c>
      <c r="W23" s="135">
        <f>'4.1 Comptes 2023 natures'!W33</f>
        <v>196047.92</v>
      </c>
      <c r="X23" s="135">
        <f>'4.1 Comptes 2023 natures'!X33</f>
        <v>4762.57</v>
      </c>
      <c r="Y23" s="135">
        <f>'4.1 Comptes 2023 natures'!Y33</f>
        <v>135578.04999999999</v>
      </c>
      <c r="Z23" s="135">
        <f>'4.1 Comptes 2023 natures'!Z33</f>
        <v>9613.4</v>
      </c>
      <c r="AA23" s="135">
        <f>'4.1 Comptes 2023 natures'!AA33</f>
        <v>4805.45</v>
      </c>
      <c r="AB23" s="135">
        <f>'4.1 Comptes 2023 natures'!AB33</f>
        <v>62402.87</v>
      </c>
      <c r="AC23" s="135">
        <f>'4.1 Comptes 2023 natures'!AC33</f>
        <v>69810.149999999994</v>
      </c>
      <c r="AD23" s="135">
        <f>'4.1 Comptes 2023 natures'!AD33</f>
        <v>45431.34</v>
      </c>
      <c r="AE23" s="135">
        <f>'4.1 Comptes 2023 natures'!AE33</f>
        <v>7765.71</v>
      </c>
      <c r="AF23" s="135">
        <f>'4.1 Comptes 2023 natures'!AF33</f>
        <v>42075.34</v>
      </c>
      <c r="AG23" s="135">
        <f>'4.1 Comptes 2023 natures'!AG33</f>
        <v>139010.32999999999</v>
      </c>
      <c r="AH23" s="135">
        <f>'4.1 Comptes 2023 natures'!AH33</f>
        <v>18355.89</v>
      </c>
      <c r="AI23" s="135">
        <f>'4.1 Comptes 2023 natures'!AI33</f>
        <v>4428.46</v>
      </c>
      <c r="AJ23" s="135">
        <f>'4.1 Comptes 2023 natures'!AJ33</f>
        <v>178839.76</v>
      </c>
      <c r="AK23" s="135">
        <f>'4.1 Comptes 2023 natures'!AK33</f>
        <v>124437.21</v>
      </c>
      <c r="AL23" s="135">
        <f>'4.1 Comptes 2023 natures'!AL33</f>
        <v>133165.51999999999</v>
      </c>
      <c r="AM23" s="135">
        <f>'4.1 Comptes 2023 natures'!AM33</f>
        <v>19222.490000000002</v>
      </c>
      <c r="AN23" s="135">
        <f>'4.1 Comptes 2023 natures'!AN33</f>
        <v>89524.44</v>
      </c>
      <c r="AO23" s="135">
        <f>'4.1 Comptes 2023 natures'!AO33</f>
        <v>86450.95</v>
      </c>
      <c r="AP23" s="135">
        <f>'4.1 Comptes 2023 natures'!AP33</f>
        <v>79824.19</v>
      </c>
      <c r="AQ23" s="135">
        <f>'4.1 Comptes 2023 natures'!AQ33</f>
        <v>89935.81</v>
      </c>
      <c r="AR23" s="135">
        <f>'4.1 Comptes 2023 natures'!AR33</f>
        <v>65076.03</v>
      </c>
      <c r="AS23" s="135">
        <f>'4.1 Comptes 2023 natures'!AS33</f>
        <v>104750.79</v>
      </c>
      <c r="AT23" s="135">
        <f>'4.1 Comptes 2023 natures'!AT33</f>
        <v>21291.29</v>
      </c>
      <c r="AU23" s="135">
        <f>'4.1 Comptes 2023 natures'!AU33</f>
        <v>221196.53</v>
      </c>
      <c r="AV23" s="135">
        <f>'4.1 Comptes 2023 natures'!AV33</f>
        <v>61086.18</v>
      </c>
      <c r="AW23" s="135">
        <f>'4.1 Comptes 2023 natures'!AW33</f>
        <v>7983.25</v>
      </c>
      <c r="AX23" s="135">
        <f>'4.1 Comptes 2023 natures'!AX33</f>
        <v>16170.03</v>
      </c>
      <c r="AY23" s="135">
        <f>'4.1 Comptes 2023 natures'!AY33</f>
        <v>301713.03999999998</v>
      </c>
      <c r="AZ23" s="135">
        <f>'4.1 Comptes 2023 natures'!AZ33</f>
        <v>46856.61</v>
      </c>
      <c r="BA23" s="135">
        <f>'4.1 Comptes 2023 natures'!BA33</f>
        <v>121337.51</v>
      </c>
      <c r="BB23" s="135">
        <f>'4.1 Comptes 2023 natures'!BB33</f>
        <v>882629.73</v>
      </c>
      <c r="BC23" s="135">
        <f>'4.1 Comptes 2023 natures'!BC33</f>
        <v>45684.08</v>
      </c>
      <c r="BD23" s="135">
        <f>'4.1 Comptes 2023 natures'!BD33</f>
        <v>7784863.8900000006</v>
      </c>
      <c r="BE23" s="135">
        <f>'4.1 Comptes 2023 natures'!BE33</f>
        <v>4543648.8899999997</v>
      </c>
      <c r="BF23" s="135">
        <f>'4.1 Comptes 2023 natures'!BF33</f>
        <v>544039.55999999994</v>
      </c>
      <c r="BG23" s="135">
        <f>'4.1 Comptes 2023 natures'!BG33</f>
        <v>2697175.4400000004</v>
      </c>
    </row>
    <row r="24" spans="1:59" x14ac:dyDescent="0.2">
      <c r="C24" s="8">
        <v>344</v>
      </c>
      <c r="D24" s="8" t="s">
        <v>565</v>
      </c>
      <c r="E24" s="135">
        <f>'4.1 Comptes 2023 natures'!E37</f>
        <v>0</v>
      </c>
      <c r="F24" s="135">
        <f>'4.1 Comptes 2023 natures'!F37</f>
        <v>0</v>
      </c>
      <c r="G24" s="135">
        <f>'4.1 Comptes 2023 natures'!G37</f>
        <v>0</v>
      </c>
      <c r="H24" s="135">
        <f>'4.1 Comptes 2023 natures'!H37</f>
        <v>0</v>
      </c>
      <c r="I24" s="135">
        <f>'4.1 Comptes 2023 natures'!I37</f>
        <v>176</v>
      </c>
      <c r="J24" s="135">
        <f>'4.1 Comptes 2023 natures'!J37</f>
        <v>10</v>
      </c>
      <c r="K24" s="135">
        <f>'4.1 Comptes 2023 natures'!K37</f>
        <v>6652.55</v>
      </c>
      <c r="L24" s="135">
        <f>'4.1 Comptes 2023 natures'!L37</f>
        <v>0</v>
      </c>
      <c r="M24" s="135">
        <f>'4.1 Comptes 2023 natures'!M37</f>
        <v>10</v>
      </c>
      <c r="N24" s="135">
        <f>'4.1 Comptes 2023 natures'!N37</f>
        <v>0</v>
      </c>
      <c r="O24" s="135">
        <f>'4.1 Comptes 2023 natures'!O37</f>
        <v>1463</v>
      </c>
      <c r="P24" s="135">
        <f>'4.1 Comptes 2023 natures'!P37</f>
        <v>0</v>
      </c>
      <c r="Q24" s="135">
        <f>'4.1 Comptes 2023 natures'!Q37</f>
        <v>5</v>
      </c>
      <c r="R24" s="135">
        <f>'4.1 Comptes 2023 natures'!R37</f>
        <v>0</v>
      </c>
      <c r="S24" s="135">
        <f>'4.1 Comptes 2023 natures'!S37</f>
        <v>0</v>
      </c>
      <c r="T24" s="135">
        <f>'4.1 Comptes 2023 natures'!T37</f>
        <v>1632.55</v>
      </c>
      <c r="U24" s="135">
        <f>'4.1 Comptes 2023 natures'!U37</f>
        <v>0</v>
      </c>
      <c r="V24" s="135">
        <f>'4.1 Comptes 2023 natures'!V37</f>
        <v>0</v>
      </c>
      <c r="W24" s="135">
        <f>'4.1 Comptes 2023 natures'!W37</f>
        <v>0</v>
      </c>
      <c r="X24" s="135">
        <f>'4.1 Comptes 2023 natures'!X37</f>
        <v>0</v>
      </c>
      <c r="Y24" s="135">
        <f>'4.1 Comptes 2023 natures'!Y37</f>
        <v>520</v>
      </c>
      <c r="Z24" s="135">
        <f>'4.1 Comptes 2023 natures'!Z37</f>
        <v>0</v>
      </c>
      <c r="AA24" s="135">
        <f>'4.1 Comptes 2023 natures'!AA37</f>
        <v>0</v>
      </c>
      <c r="AB24" s="135">
        <f>'4.1 Comptes 2023 natures'!AB37</f>
        <v>0</v>
      </c>
      <c r="AC24" s="135">
        <f>'4.1 Comptes 2023 natures'!AC37</f>
        <v>5</v>
      </c>
      <c r="AD24" s="135">
        <f>'4.1 Comptes 2023 natures'!AD37</f>
        <v>0</v>
      </c>
      <c r="AE24" s="135">
        <f>'4.1 Comptes 2023 natures'!AE37</f>
        <v>0</v>
      </c>
      <c r="AF24" s="135">
        <f>'4.1 Comptes 2023 natures'!AF37</f>
        <v>153087.04999999999</v>
      </c>
      <c r="AG24" s="135">
        <f>'4.1 Comptes 2023 natures'!AG37</f>
        <v>0</v>
      </c>
      <c r="AH24" s="135">
        <f>'4.1 Comptes 2023 natures'!AH37</f>
        <v>0</v>
      </c>
      <c r="AI24" s="135">
        <f>'4.1 Comptes 2023 natures'!AI37</f>
        <v>300</v>
      </c>
      <c r="AJ24" s="135">
        <f>'4.1 Comptes 2023 natures'!AJ37</f>
        <v>0</v>
      </c>
      <c r="AK24" s="135">
        <f>'4.1 Comptes 2023 natures'!AK37</f>
        <v>0</v>
      </c>
      <c r="AL24" s="135">
        <f>'4.1 Comptes 2023 natures'!AL37</f>
        <v>161.55000000000001</v>
      </c>
      <c r="AM24" s="135">
        <f>'4.1 Comptes 2023 natures'!AM37</f>
        <v>0</v>
      </c>
      <c r="AN24" s="135">
        <f>'4.1 Comptes 2023 natures'!AN37</f>
        <v>0</v>
      </c>
      <c r="AO24" s="135">
        <f>'4.1 Comptes 2023 natures'!AO37</f>
        <v>0</v>
      </c>
      <c r="AP24" s="135">
        <f>'4.1 Comptes 2023 natures'!AP37</f>
        <v>0</v>
      </c>
      <c r="AQ24" s="135">
        <f>'4.1 Comptes 2023 natures'!AQ37</f>
        <v>0</v>
      </c>
      <c r="AR24" s="135">
        <f>'4.1 Comptes 2023 natures'!AR37</f>
        <v>0</v>
      </c>
      <c r="AS24" s="135">
        <f>'4.1 Comptes 2023 natures'!AS37</f>
        <v>0</v>
      </c>
      <c r="AT24" s="135">
        <f>'4.1 Comptes 2023 natures'!AT37</f>
        <v>0</v>
      </c>
      <c r="AU24" s="135">
        <f>'4.1 Comptes 2023 natures'!AU37</f>
        <v>0</v>
      </c>
      <c r="AV24" s="135">
        <f>'4.1 Comptes 2023 natures'!AV37</f>
        <v>0</v>
      </c>
      <c r="AW24" s="135">
        <f>'4.1 Comptes 2023 natures'!AW37</f>
        <v>0</v>
      </c>
      <c r="AX24" s="135">
        <f>'4.1 Comptes 2023 natures'!AX37</f>
        <v>0</v>
      </c>
      <c r="AY24" s="135">
        <f>'4.1 Comptes 2023 natures'!AY37</f>
        <v>125</v>
      </c>
      <c r="AZ24" s="135">
        <f>'4.1 Comptes 2023 natures'!AZ37</f>
        <v>0</v>
      </c>
      <c r="BA24" s="135">
        <f>'4.1 Comptes 2023 natures'!BA37</f>
        <v>135</v>
      </c>
      <c r="BB24" s="135">
        <f>'4.1 Comptes 2023 natures'!BB37</f>
        <v>0</v>
      </c>
      <c r="BC24" s="135">
        <f>'4.1 Comptes 2023 natures'!BC37</f>
        <v>0</v>
      </c>
      <c r="BD24" s="135">
        <f>'4.1 Comptes 2023 natures'!BD37</f>
        <v>164282.69999999998</v>
      </c>
      <c r="BE24" s="135">
        <f>'4.1 Comptes 2023 natures'!BE37</f>
        <v>9949.0999999999985</v>
      </c>
      <c r="BF24" s="135">
        <f>'4.1 Comptes 2023 natures'!BF37</f>
        <v>153912.04999999999</v>
      </c>
      <c r="BG24" s="135">
        <f>'4.1 Comptes 2023 natures'!BG37</f>
        <v>421.55</v>
      </c>
    </row>
    <row r="25" spans="1:59" x14ac:dyDescent="0.2">
      <c r="C25" s="8">
        <v>35</v>
      </c>
      <c r="D25" s="8" t="s">
        <v>223</v>
      </c>
      <c r="E25" s="135">
        <f>'4.1 Comptes 2023 natures'!E40</f>
        <v>9169.5499999999993</v>
      </c>
      <c r="F25" s="135">
        <f>'4.1 Comptes 2023 natures'!F40</f>
        <v>18787.240000000002</v>
      </c>
      <c r="G25" s="135">
        <f>'4.1 Comptes 2023 natures'!G40</f>
        <v>64197.5</v>
      </c>
      <c r="H25" s="135">
        <f>'4.1 Comptes 2023 natures'!H40</f>
        <v>0</v>
      </c>
      <c r="I25" s="135">
        <f>'4.1 Comptes 2023 natures'!I40</f>
        <v>433297.06</v>
      </c>
      <c r="J25" s="135">
        <f>'4.1 Comptes 2023 natures'!J40</f>
        <v>191890.75</v>
      </c>
      <c r="K25" s="135">
        <f>'4.1 Comptes 2023 natures'!K40</f>
        <v>214405.7</v>
      </c>
      <c r="L25" s="135">
        <f>'4.1 Comptes 2023 natures'!L40</f>
        <v>0</v>
      </c>
      <c r="M25" s="135">
        <f>'4.1 Comptes 2023 natures'!M40</f>
        <v>104202.19</v>
      </c>
      <c r="N25" s="135">
        <f>'4.1 Comptes 2023 natures'!N40</f>
        <v>9500</v>
      </c>
      <c r="O25" s="135">
        <f>'4.1 Comptes 2023 natures'!O40</f>
        <v>1015205.85</v>
      </c>
      <c r="P25" s="135">
        <f>'4.1 Comptes 2023 natures'!P40</f>
        <v>0</v>
      </c>
      <c r="Q25" s="135">
        <f>'4.1 Comptes 2023 natures'!Q40</f>
        <v>0</v>
      </c>
      <c r="R25" s="135">
        <f>'4.1 Comptes 2023 natures'!R40</f>
        <v>126370</v>
      </c>
      <c r="S25" s="135">
        <f>'4.1 Comptes 2023 natures'!S40</f>
        <v>97828</v>
      </c>
      <c r="T25" s="135">
        <f>'4.1 Comptes 2023 natures'!T40</f>
        <v>94394</v>
      </c>
      <c r="U25" s="135">
        <f>'4.1 Comptes 2023 natures'!U40</f>
        <v>4808.45</v>
      </c>
      <c r="V25" s="135">
        <f>'4.1 Comptes 2023 natures'!V40</f>
        <v>0</v>
      </c>
      <c r="W25" s="135">
        <f>'4.1 Comptes 2023 natures'!W40</f>
        <v>0</v>
      </c>
      <c r="X25" s="135">
        <f>'4.1 Comptes 2023 natures'!X40</f>
        <v>51812.1</v>
      </c>
      <c r="Y25" s="135">
        <f>'4.1 Comptes 2023 natures'!Y40</f>
        <v>1564.35</v>
      </c>
      <c r="Z25" s="135">
        <f>'4.1 Comptes 2023 natures'!Z40</f>
        <v>135879.62</v>
      </c>
      <c r="AA25" s="135">
        <f>'4.1 Comptes 2023 natures'!AA40</f>
        <v>6071</v>
      </c>
      <c r="AB25" s="135">
        <f>'4.1 Comptes 2023 natures'!AB40</f>
        <v>68838</v>
      </c>
      <c r="AC25" s="135">
        <f>'4.1 Comptes 2023 natures'!AC40</f>
        <v>6587</v>
      </c>
      <c r="AD25" s="135">
        <f>'4.1 Comptes 2023 natures'!AD40</f>
        <v>3878.14</v>
      </c>
      <c r="AE25" s="135">
        <f>'4.1 Comptes 2023 natures'!AE40</f>
        <v>20257.45</v>
      </c>
      <c r="AF25" s="135">
        <f>'4.1 Comptes 2023 natures'!AF40</f>
        <v>68654.45</v>
      </c>
      <c r="AG25" s="135">
        <f>'4.1 Comptes 2023 natures'!AG40</f>
        <v>112273.62</v>
      </c>
      <c r="AH25" s="135">
        <f>'4.1 Comptes 2023 natures'!AH40</f>
        <v>1143.8</v>
      </c>
      <c r="AI25" s="135">
        <f>'4.1 Comptes 2023 natures'!AI40</f>
        <v>3530.75</v>
      </c>
      <c r="AJ25" s="135">
        <f>'4.1 Comptes 2023 natures'!AJ40</f>
        <v>228874.55</v>
      </c>
      <c r="AK25" s="135">
        <f>'4.1 Comptes 2023 natures'!AK40</f>
        <v>174342.2</v>
      </c>
      <c r="AL25" s="135">
        <f>'4.1 Comptes 2023 natures'!AL40</f>
        <v>80358.820000000007</v>
      </c>
      <c r="AM25" s="135">
        <f>'4.1 Comptes 2023 natures'!AM40</f>
        <v>0</v>
      </c>
      <c r="AN25" s="135">
        <f>'4.1 Comptes 2023 natures'!AN40</f>
        <v>0</v>
      </c>
      <c r="AO25" s="135">
        <f>'4.1 Comptes 2023 natures'!AO40</f>
        <v>13297.81</v>
      </c>
      <c r="AP25" s="135">
        <f>'4.1 Comptes 2023 natures'!AP40</f>
        <v>2175</v>
      </c>
      <c r="AQ25" s="135">
        <f>'4.1 Comptes 2023 natures'!AQ40</f>
        <v>122673.8</v>
      </c>
      <c r="AR25" s="135">
        <f>'4.1 Comptes 2023 natures'!AR40</f>
        <v>19646.849999999999</v>
      </c>
      <c r="AS25" s="135">
        <f>'4.1 Comptes 2023 natures'!AS40</f>
        <v>162563.9</v>
      </c>
      <c r="AT25" s="135">
        <f>'4.1 Comptes 2023 natures'!AT40</f>
        <v>25295.75</v>
      </c>
      <c r="AU25" s="135">
        <f>'4.1 Comptes 2023 natures'!AU40</f>
        <v>227535.97</v>
      </c>
      <c r="AV25" s="135">
        <f>'4.1 Comptes 2023 natures'!AV40</f>
        <v>13924</v>
      </c>
      <c r="AW25" s="135">
        <f>'4.1 Comptes 2023 natures'!AW40</f>
        <v>37555.01</v>
      </c>
      <c r="AX25" s="135">
        <f>'4.1 Comptes 2023 natures'!AX40</f>
        <v>254.82</v>
      </c>
      <c r="AY25" s="135">
        <f>'4.1 Comptes 2023 natures'!AY40</f>
        <v>7325.7</v>
      </c>
      <c r="AZ25" s="135">
        <f>'4.1 Comptes 2023 natures'!AZ40</f>
        <v>159180.69</v>
      </c>
      <c r="BA25" s="135">
        <f>'4.1 Comptes 2023 natures'!BA40</f>
        <v>23417.32</v>
      </c>
      <c r="BB25" s="135">
        <f>'4.1 Comptes 2023 natures'!BB40</f>
        <v>986875</v>
      </c>
      <c r="BC25" s="135">
        <f>'4.1 Comptes 2023 natures'!BC40</f>
        <v>7447.05</v>
      </c>
      <c r="BD25" s="135">
        <f>'4.1 Comptes 2023 natures'!BD40</f>
        <v>5157290.8100000005</v>
      </c>
      <c r="BE25" s="135">
        <f>'4.1 Comptes 2023 natures'!BE40</f>
        <v>2384056.29</v>
      </c>
      <c r="BF25" s="135">
        <f>'4.1 Comptes 2023 natures'!BF40</f>
        <v>480490.28</v>
      </c>
      <c r="BG25" s="135">
        <f>'4.1 Comptes 2023 natures'!BG40</f>
        <v>2292744.2399999998</v>
      </c>
    </row>
    <row r="26" spans="1:59" x14ac:dyDescent="0.2">
      <c r="C26" s="8">
        <v>36</v>
      </c>
      <c r="D26" s="8" t="s">
        <v>282</v>
      </c>
      <c r="E26" s="135">
        <f>'4.1 Comptes 2023 natures'!E44</f>
        <v>2345563.2599999998</v>
      </c>
      <c r="F26" s="135">
        <f>'4.1 Comptes 2023 natures'!F44</f>
        <v>654032.80000000005</v>
      </c>
      <c r="G26" s="135">
        <f>'4.1 Comptes 2023 natures'!G44</f>
        <v>1087397.1000000001</v>
      </c>
      <c r="H26" s="135">
        <f>'4.1 Comptes 2023 natures'!H44</f>
        <v>1029945.8</v>
      </c>
      <c r="I26" s="135">
        <f>'4.1 Comptes 2023 natures'!I44</f>
        <v>7923859.1500000004</v>
      </c>
      <c r="J26" s="135">
        <f>'4.1 Comptes 2023 natures'!J44</f>
        <v>6872706.1999999993</v>
      </c>
      <c r="K26" s="135">
        <f>'4.1 Comptes 2023 natures'!K44</f>
        <v>6793787.6699999999</v>
      </c>
      <c r="L26" s="135">
        <f>'4.1 Comptes 2023 natures'!L44</f>
        <v>44381760.149999999</v>
      </c>
      <c r="M26" s="135">
        <f>'4.1 Comptes 2023 natures'!M44</f>
        <v>3945444.9299999997</v>
      </c>
      <c r="N26" s="135">
        <f>'4.1 Comptes 2023 natures'!N44</f>
        <v>246934.5</v>
      </c>
      <c r="O26" s="135">
        <f>'4.1 Comptes 2023 natures'!O44</f>
        <v>17422916.989999998</v>
      </c>
      <c r="P26" s="135">
        <f>'4.1 Comptes 2023 natures'!P44</f>
        <v>1114306.5000000002</v>
      </c>
      <c r="Q26" s="135">
        <f>'4.1 Comptes 2023 natures'!Q44</f>
        <v>239063.55</v>
      </c>
      <c r="R26" s="135">
        <f>'4.1 Comptes 2023 natures'!R44</f>
        <v>903886.71000000008</v>
      </c>
      <c r="S26" s="135">
        <f>'4.1 Comptes 2023 natures'!S44</f>
        <v>759013.82000000007</v>
      </c>
      <c r="T26" s="135">
        <f>'4.1 Comptes 2023 natures'!T44</f>
        <v>1662997.19</v>
      </c>
      <c r="U26" s="135">
        <f>'4.1 Comptes 2023 natures'!U44</f>
        <v>607069.04</v>
      </c>
      <c r="V26" s="135">
        <f>'4.1 Comptes 2023 natures'!V44</f>
        <v>1351480.9</v>
      </c>
      <c r="W26" s="135">
        <f>'4.1 Comptes 2023 natures'!W44</f>
        <v>6515979.3299999991</v>
      </c>
      <c r="X26" s="135">
        <f>'4.1 Comptes 2023 natures'!X44</f>
        <v>786930.84000000008</v>
      </c>
      <c r="Y26" s="135">
        <f>'4.1 Comptes 2023 natures'!Y44</f>
        <v>3063906.92</v>
      </c>
      <c r="Z26" s="135">
        <f>'4.1 Comptes 2023 natures'!Z44</f>
        <v>7481289.8000000007</v>
      </c>
      <c r="AA26" s="135">
        <f>'4.1 Comptes 2023 natures'!AA44</f>
        <v>407766.5</v>
      </c>
      <c r="AB26" s="135">
        <f>'4.1 Comptes 2023 natures'!AB44</f>
        <v>1346485.6099999999</v>
      </c>
      <c r="AC26" s="135">
        <f>'4.1 Comptes 2023 natures'!AC44</f>
        <v>1805674.08</v>
      </c>
      <c r="AD26" s="135">
        <f>'4.1 Comptes 2023 natures'!AD44</f>
        <v>1281747.95</v>
      </c>
      <c r="AE26" s="135">
        <f>'4.1 Comptes 2023 natures'!AE44</f>
        <v>1309650.6099999999</v>
      </c>
      <c r="AF26" s="135">
        <f>'4.1 Comptes 2023 natures'!AF44</f>
        <v>5367761.01</v>
      </c>
      <c r="AG26" s="135">
        <f>'4.1 Comptes 2023 natures'!AG44</f>
        <v>6111203.9299999997</v>
      </c>
      <c r="AH26" s="135">
        <f>'4.1 Comptes 2023 natures'!AH44</f>
        <v>527093.91</v>
      </c>
      <c r="AI26" s="135">
        <f>'4.1 Comptes 2023 natures'!AI44</f>
        <v>273830.59999999998</v>
      </c>
      <c r="AJ26" s="135">
        <f>'4.1 Comptes 2023 natures'!AJ44</f>
        <v>4997687.55</v>
      </c>
      <c r="AK26" s="135">
        <f>'4.1 Comptes 2023 natures'!AK44</f>
        <v>2694353.56</v>
      </c>
      <c r="AL26" s="135">
        <f>'4.1 Comptes 2023 natures'!AL44</f>
        <v>3050106.12</v>
      </c>
      <c r="AM26" s="135">
        <f>'4.1 Comptes 2023 natures'!AM44</f>
        <v>309919.02</v>
      </c>
      <c r="AN26" s="135">
        <f>'4.1 Comptes 2023 natures'!AN44</f>
        <v>4435630.34</v>
      </c>
      <c r="AO26" s="135">
        <f>'4.1 Comptes 2023 natures'!AO44</f>
        <v>1997902.5499999998</v>
      </c>
      <c r="AP26" s="135">
        <f>'4.1 Comptes 2023 natures'!AP44</f>
        <v>1533011.9</v>
      </c>
      <c r="AQ26" s="135">
        <f>'4.1 Comptes 2023 natures'!AQ44</f>
        <v>2955588.2</v>
      </c>
      <c r="AR26" s="135">
        <f>'4.1 Comptes 2023 natures'!AR44</f>
        <v>1962104.25</v>
      </c>
      <c r="AS26" s="135">
        <f>'4.1 Comptes 2023 natures'!AS44</f>
        <v>2661124.91</v>
      </c>
      <c r="AT26" s="135">
        <f>'4.1 Comptes 2023 natures'!AT44</f>
        <v>758140.8</v>
      </c>
      <c r="AU26" s="135">
        <f>'4.1 Comptes 2023 natures'!AU44</f>
        <v>6736468.4100000001</v>
      </c>
      <c r="AV26" s="135">
        <f>'4.1 Comptes 2023 natures'!AV44</f>
        <v>2019357.81</v>
      </c>
      <c r="AW26" s="135">
        <f>'4.1 Comptes 2023 natures'!AW44</f>
        <v>1001061.66</v>
      </c>
      <c r="AX26" s="135">
        <f>'4.1 Comptes 2023 natures'!AX44</f>
        <v>711991.97</v>
      </c>
      <c r="AY26" s="135">
        <f>'4.1 Comptes 2023 natures'!AY44</f>
        <v>4077000.45</v>
      </c>
      <c r="AZ26" s="135">
        <f>'4.1 Comptes 2023 natures'!AZ44</f>
        <v>917777.55</v>
      </c>
      <c r="BA26" s="135">
        <f>'4.1 Comptes 2023 natures'!BA44</f>
        <v>2696885.21</v>
      </c>
      <c r="BB26" s="135">
        <f>'4.1 Comptes 2023 natures'!BB44</f>
        <v>19106962.170000002</v>
      </c>
      <c r="BC26" s="135">
        <f>'4.1 Comptes 2023 natures'!BC44</f>
        <v>1451091.5499999998</v>
      </c>
      <c r="BD26" s="135">
        <f>'4.1 Comptes 2023 natures'!BD44</f>
        <v>201695653.33000004</v>
      </c>
      <c r="BE26" s="135">
        <f>'4.1 Comptes 2023 natures'!BE44</f>
        <v>105858145.59</v>
      </c>
      <c r="BF26" s="135">
        <f>'4.1 Comptes 2023 natures'!BF44</f>
        <v>29763341.760000002</v>
      </c>
      <c r="BG26" s="135">
        <f>'4.1 Comptes 2023 natures'!BG44</f>
        <v>66074165.979999997</v>
      </c>
    </row>
    <row r="27" spans="1:59" x14ac:dyDescent="0.2">
      <c r="C27" s="8">
        <v>36227</v>
      </c>
      <c r="D27" s="8" t="s">
        <v>267</v>
      </c>
      <c r="E27" s="135">
        <f>'4.1 Comptes 2023 natures'!E180</f>
        <v>0</v>
      </c>
      <c r="F27" s="135">
        <f>'4.1 Comptes 2023 natures'!F180</f>
        <v>0</v>
      </c>
      <c r="G27" s="135">
        <f>'4.1 Comptes 2023 natures'!G180</f>
        <v>0</v>
      </c>
      <c r="H27" s="135">
        <f>'4.1 Comptes 2023 natures'!H180</f>
        <v>0</v>
      </c>
      <c r="I27" s="135">
        <f>'4.1 Comptes 2023 natures'!I180</f>
        <v>0</v>
      </c>
      <c r="J27" s="135">
        <f>'4.1 Comptes 2023 natures'!J180</f>
        <v>0</v>
      </c>
      <c r="K27" s="135">
        <f>'4.1 Comptes 2023 natures'!K180</f>
        <v>241355</v>
      </c>
      <c r="L27" s="135">
        <f>'4.1 Comptes 2023 natures'!L180</f>
        <v>841941</v>
      </c>
      <c r="M27" s="135">
        <f>'4.1 Comptes 2023 natures'!M180</f>
        <v>0</v>
      </c>
      <c r="N27" s="135">
        <f>'4.1 Comptes 2023 natures'!N180</f>
        <v>0</v>
      </c>
      <c r="O27" s="135">
        <f>'4.1 Comptes 2023 natures'!O180</f>
        <v>0</v>
      </c>
      <c r="P27" s="135">
        <f>'4.1 Comptes 2023 natures'!P180</f>
        <v>0</v>
      </c>
      <c r="Q27" s="135">
        <f>'4.1 Comptes 2023 natures'!Q180</f>
        <v>0</v>
      </c>
      <c r="R27" s="135">
        <f>'4.1 Comptes 2023 natures'!R180</f>
        <v>0</v>
      </c>
      <c r="S27" s="135">
        <f>'4.1 Comptes 2023 natures'!S180</f>
        <v>0</v>
      </c>
      <c r="T27" s="135">
        <f>'4.1 Comptes 2023 natures'!T180</f>
        <v>30591</v>
      </c>
      <c r="U27" s="135">
        <f>'4.1 Comptes 2023 natures'!U180</f>
        <v>0</v>
      </c>
      <c r="V27" s="135">
        <f>'4.1 Comptes 2023 natures'!V180</f>
        <v>0</v>
      </c>
      <c r="W27" s="135">
        <f>'4.1 Comptes 2023 natures'!W180</f>
        <v>0</v>
      </c>
      <c r="X27" s="135">
        <f>'4.1 Comptes 2023 natures'!X180</f>
        <v>0</v>
      </c>
      <c r="Y27" s="135">
        <f>'4.1 Comptes 2023 natures'!Y180</f>
        <v>182984</v>
      </c>
      <c r="Z27" s="135">
        <f>'4.1 Comptes 2023 natures'!Z180</f>
        <v>3843938</v>
      </c>
      <c r="AA27" s="135">
        <f>'4.1 Comptes 2023 natures'!AA180</f>
        <v>0</v>
      </c>
      <c r="AB27" s="135">
        <f>'4.1 Comptes 2023 natures'!AB180</f>
        <v>0</v>
      </c>
      <c r="AC27" s="135">
        <f>'4.1 Comptes 2023 natures'!AC180</f>
        <v>0</v>
      </c>
      <c r="AD27" s="135">
        <f>'4.1 Comptes 2023 natures'!AD180</f>
        <v>0</v>
      </c>
      <c r="AE27" s="135">
        <f>'4.1 Comptes 2023 natures'!AE180</f>
        <v>23124</v>
      </c>
      <c r="AF27" s="135">
        <f>'4.1 Comptes 2023 natures'!AF180</f>
        <v>343683</v>
      </c>
      <c r="AG27" s="135">
        <f>'4.1 Comptes 2023 natures'!AG180</f>
        <v>0</v>
      </c>
      <c r="AH27" s="135">
        <f>'4.1 Comptes 2023 natures'!AH180</f>
        <v>0</v>
      </c>
      <c r="AI27" s="135">
        <f>'4.1 Comptes 2023 natures'!AI180</f>
        <v>0</v>
      </c>
      <c r="AJ27" s="135">
        <f>'4.1 Comptes 2023 natures'!AJ180</f>
        <v>62492</v>
      </c>
      <c r="AK27" s="135">
        <f>'4.1 Comptes 2023 natures'!AK180</f>
        <v>0</v>
      </c>
      <c r="AL27" s="135">
        <f>'4.1 Comptes 2023 natures'!AL180</f>
        <v>0</v>
      </c>
      <c r="AM27" s="135">
        <f>'4.1 Comptes 2023 natures'!AM180</f>
        <v>0</v>
      </c>
      <c r="AN27" s="135">
        <f>'4.1 Comptes 2023 natures'!AN180</f>
        <v>1770320</v>
      </c>
      <c r="AO27" s="135">
        <f>'4.1 Comptes 2023 natures'!AO180</f>
        <v>10400</v>
      </c>
      <c r="AP27" s="135">
        <f>'4.1 Comptes 2023 natures'!AP180</f>
        <v>20919</v>
      </c>
      <c r="AQ27" s="135">
        <f>'4.1 Comptes 2023 natures'!AQ180</f>
        <v>0</v>
      </c>
      <c r="AR27" s="135">
        <f>'4.1 Comptes 2023 natures'!AR180</f>
        <v>0</v>
      </c>
      <c r="AS27" s="135">
        <f>'4.1 Comptes 2023 natures'!AS180</f>
        <v>0</v>
      </c>
      <c r="AT27" s="135">
        <f>'4.1 Comptes 2023 natures'!AT180</f>
        <v>0</v>
      </c>
      <c r="AU27" s="135">
        <f>'4.1 Comptes 2023 natures'!AU180</f>
        <v>0</v>
      </c>
      <c r="AV27" s="135">
        <f>'4.1 Comptes 2023 natures'!AV180</f>
        <v>33832</v>
      </c>
      <c r="AW27" s="135">
        <f>'4.1 Comptes 2023 natures'!AW180</f>
        <v>0</v>
      </c>
      <c r="AX27" s="135">
        <f>'4.1 Comptes 2023 natures'!AX180</f>
        <v>0</v>
      </c>
      <c r="AY27" s="135">
        <f>'4.1 Comptes 2023 natures'!AY180</f>
        <v>0</v>
      </c>
      <c r="AZ27" s="135">
        <f>'4.1 Comptes 2023 natures'!AZ180</f>
        <v>0</v>
      </c>
      <c r="BA27" s="135">
        <f>'4.1 Comptes 2023 natures'!BA180</f>
        <v>10724</v>
      </c>
      <c r="BB27" s="135">
        <f>'4.1 Comptes 2023 natures'!BB180</f>
        <v>265179</v>
      </c>
      <c r="BC27" s="135">
        <f>'4.1 Comptes 2023 natures'!BC180</f>
        <v>0</v>
      </c>
      <c r="BD27" s="135">
        <f>'4.1 Comptes 2023 natures'!BD180</f>
        <v>7681482</v>
      </c>
      <c r="BE27" s="135">
        <f>'4.1 Comptes 2023 natures'!BE180</f>
        <v>1113887</v>
      </c>
      <c r="BF27" s="135">
        <f>'4.1 Comptes 2023 natures'!BF180</f>
        <v>4393729</v>
      </c>
      <c r="BG27" s="135">
        <f>'4.1 Comptes 2023 natures'!BG180</f>
        <v>2173866</v>
      </c>
    </row>
    <row r="28" spans="1:59" x14ac:dyDescent="0.2">
      <c r="C28" s="8">
        <v>36228</v>
      </c>
      <c r="D28" s="8" t="s">
        <v>284</v>
      </c>
      <c r="E28" s="135">
        <f>'4.1 Comptes 2023 natures'!E181</f>
        <v>0</v>
      </c>
      <c r="F28" s="135">
        <f>'4.1 Comptes 2023 natures'!F181</f>
        <v>0</v>
      </c>
      <c r="G28" s="135">
        <f>'4.1 Comptes 2023 natures'!G181</f>
        <v>0</v>
      </c>
      <c r="H28" s="135">
        <f>'4.1 Comptes 2023 natures'!H181</f>
        <v>0</v>
      </c>
      <c r="I28" s="135">
        <f>'4.1 Comptes 2023 natures'!I181</f>
        <v>158900</v>
      </c>
      <c r="J28" s="135">
        <f>'4.1 Comptes 2023 natures'!J181</f>
        <v>143390</v>
      </c>
      <c r="K28" s="135">
        <f>'4.1 Comptes 2023 natures'!K181</f>
        <v>0</v>
      </c>
      <c r="L28" s="135">
        <f>'4.1 Comptes 2023 natures'!L181</f>
        <v>18648</v>
      </c>
      <c r="M28" s="135">
        <f>'4.1 Comptes 2023 natures'!M181</f>
        <v>58468</v>
      </c>
      <c r="N28" s="135">
        <f>'4.1 Comptes 2023 natures'!N181</f>
        <v>0</v>
      </c>
      <c r="O28" s="135">
        <f>'4.1 Comptes 2023 natures'!O181</f>
        <v>248509</v>
      </c>
      <c r="P28" s="135">
        <f>'4.1 Comptes 2023 natures'!P181</f>
        <v>0</v>
      </c>
      <c r="Q28" s="135">
        <f>'4.1 Comptes 2023 natures'!Q181</f>
        <v>3816</v>
      </c>
      <c r="R28" s="135">
        <f>'4.1 Comptes 2023 natures'!R181</f>
        <v>0</v>
      </c>
      <c r="S28" s="135">
        <f>'4.1 Comptes 2023 natures'!S181</f>
        <v>0</v>
      </c>
      <c r="T28" s="135">
        <f>'4.1 Comptes 2023 natures'!T181</f>
        <v>0</v>
      </c>
      <c r="U28" s="135">
        <f>'4.1 Comptes 2023 natures'!U181</f>
        <v>4624</v>
      </c>
      <c r="V28" s="135">
        <f>'4.1 Comptes 2023 natures'!V181</f>
        <v>0</v>
      </c>
      <c r="W28" s="135">
        <f>'4.1 Comptes 2023 natures'!W181</f>
        <v>0</v>
      </c>
      <c r="X28" s="135">
        <f>'4.1 Comptes 2023 natures'!X181</f>
        <v>0</v>
      </c>
      <c r="Y28" s="135">
        <f>'4.1 Comptes 2023 natures'!Y181</f>
        <v>0</v>
      </c>
      <c r="Z28" s="135">
        <f>'4.1 Comptes 2023 natures'!Z181</f>
        <v>0</v>
      </c>
      <c r="AA28" s="135">
        <f>'4.1 Comptes 2023 natures'!AA181</f>
        <v>0</v>
      </c>
      <c r="AB28" s="135">
        <f>'4.1 Comptes 2023 natures'!AB181</f>
        <v>0</v>
      </c>
      <c r="AC28" s="135">
        <f>'4.1 Comptes 2023 natures'!AC181</f>
        <v>0</v>
      </c>
      <c r="AD28" s="135">
        <f>'4.1 Comptes 2023 natures'!AD181</f>
        <v>0</v>
      </c>
      <c r="AE28" s="135">
        <f>'4.1 Comptes 2023 natures'!AE181</f>
        <v>0</v>
      </c>
      <c r="AF28" s="135">
        <f>'4.1 Comptes 2023 natures'!AF181</f>
        <v>0</v>
      </c>
      <c r="AG28" s="135">
        <f>'4.1 Comptes 2023 natures'!AG181</f>
        <v>0</v>
      </c>
      <c r="AH28" s="135">
        <f>'4.1 Comptes 2023 natures'!AH181</f>
        <v>0</v>
      </c>
      <c r="AI28" s="135">
        <f>'4.1 Comptes 2023 natures'!AI181</f>
        <v>0</v>
      </c>
      <c r="AJ28" s="135">
        <f>'4.1 Comptes 2023 natures'!AJ181</f>
        <v>0</v>
      </c>
      <c r="AK28" s="135">
        <f>'4.1 Comptes 2023 natures'!AK181</f>
        <v>0</v>
      </c>
      <c r="AL28" s="135">
        <f>'4.1 Comptes 2023 natures'!AL181</f>
        <v>0</v>
      </c>
      <c r="AM28" s="135">
        <f>'4.1 Comptes 2023 natures'!AM181</f>
        <v>0</v>
      </c>
      <c r="AN28" s="135">
        <f>'4.1 Comptes 2023 natures'!AN181</f>
        <v>0</v>
      </c>
      <c r="AO28" s="135">
        <f>'4.1 Comptes 2023 natures'!AO181</f>
        <v>0</v>
      </c>
      <c r="AP28" s="135">
        <f>'4.1 Comptes 2023 natures'!AP181</f>
        <v>0</v>
      </c>
      <c r="AQ28" s="135">
        <f>'4.1 Comptes 2023 natures'!AQ181</f>
        <v>0</v>
      </c>
      <c r="AR28" s="135">
        <f>'4.1 Comptes 2023 natures'!AR181</f>
        <v>0</v>
      </c>
      <c r="AS28" s="135">
        <f>'4.1 Comptes 2023 natures'!AS181</f>
        <v>0</v>
      </c>
      <c r="AT28" s="135">
        <f>'4.1 Comptes 2023 natures'!AT181</f>
        <v>0</v>
      </c>
      <c r="AU28" s="135">
        <f>'4.1 Comptes 2023 natures'!AU181</f>
        <v>67846</v>
      </c>
      <c r="AV28" s="135">
        <f>'4.1 Comptes 2023 natures'!AV181</f>
        <v>0</v>
      </c>
      <c r="AW28" s="135">
        <f>'4.1 Comptes 2023 natures'!AW181</f>
        <v>0</v>
      </c>
      <c r="AX28" s="135">
        <f>'4.1 Comptes 2023 natures'!AX181</f>
        <v>0</v>
      </c>
      <c r="AY28" s="135">
        <f>'4.1 Comptes 2023 natures'!AY181</f>
        <v>0</v>
      </c>
      <c r="AZ28" s="135">
        <f>'4.1 Comptes 2023 natures'!AZ181</f>
        <v>6318</v>
      </c>
      <c r="BA28" s="135">
        <f>'4.1 Comptes 2023 natures'!BA181</f>
        <v>0</v>
      </c>
      <c r="BB28" s="135">
        <f>'4.1 Comptes 2023 natures'!BB181</f>
        <v>0</v>
      </c>
      <c r="BC28" s="135">
        <f>'4.1 Comptes 2023 natures'!BC181</f>
        <v>0</v>
      </c>
      <c r="BD28" s="135">
        <f>'4.1 Comptes 2023 natures'!BD181</f>
        <v>710519</v>
      </c>
      <c r="BE28" s="135">
        <f>'4.1 Comptes 2023 natures'!BE181</f>
        <v>636355</v>
      </c>
      <c r="BF28" s="135">
        <f>'4.1 Comptes 2023 natures'!BF181</f>
        <v>0</v>
      </c>
      <c r="BG28" s="135">
        <f>'4.1 Comptes 2023 natures'!BG181</f>
        <v>74164</v>
      </c>
    </row>
    <row r="29" spans="1:59" x14ac:dyDescent="0.2">
      <c r="C29" s="8">
        <v>364</v>
      </c>
      <c r="D29" s="8" t="s">
        <v>230</v>
      </c>
      <c r="E29" s="135">
        <f>'4.1 Comptes 2023 natures'!E49</f>
        <v>0</v>
      </c>
      <c r="F29" s="135">
        <f>'4.1 Comptes 2023 natures'!F49</f>
        <v>0</v>
      </c>
      <c r="G29" s="135">
        <f>'4.1 Comptes 2023 natures'!G49</f>
        <v>0</v>
      </c>
      <c r="H29" s="135">
        <f>'4.1 Comptes 2023 natures'!H49</f>
        <v>0</v>
      </c>
      <c r="I29" s="135">
        <f>'4.1 Comptes 2023 natures'!I49</f>
        <v>0</v>
      </c>
      <c r="J29" s="135">
        <f>'4.1 Comptes 2023 natures'!J49</f>
        <v>0</v>
      </c>
      <c r="K29" s="135">
        <f>'4.1 Comptes 2023 natures'!K49</f>
        <v>0</v>
      </c>
      <c r="L29" s="135">
        <f>'4.1 Comptes 2023 natures'!L49</f>
        <v>0</v>
      </c>
      <c r="M29" s="135">
        <f>'4.1 Comptes 2023 natures'!M49</f>
        <v>0</v>
      </c>
      <c r="N29" s="135">
        <f>'4.1 Comptes 2023 natures'!N49</f>
        <v>0</v>
      </c>
      <c r="O29" s="135">
        <f>'4.1 Comptes 2023 natures'!O49</f>
        <v>0</v>
      </c>
      <c r="P29" s="135">
        <f>'4.1 Comptes 2023 natures'!P49</f>
        <v>0</v>
      </c>
      <c r="Q29" s="135">
        <f>'4.1 Comptes 2023 natures'!Q49</f>
        <v>0</v>
      </c>
      <c r="R29" s="135">
        <f>'4.1 Comptes 2023 natures'!R49</f>
        <v>0</v>
      </c>
      <c r="S29" s="135">
        <f>'4.1 Comptes 2023 natures'!S49</f>
        <v>0</v>
      </c>
      <c r="T29" s="135">
        <f>'4.1 Comptes 2023 natures'!T49</f>
        <v>0</v>
      </c>
      <c r="U29" s="135">
        <f>'4.1 Comptes 2023 natures'!U49</f>
        <v>0</v>
      </c>
      <c r="V29" s="135">
        <f>'4.1 Comptes 2023 natures'!V49</f>
        <v>0</v>
      </c>
      <c r="W29" s="135">
        <f>'4.1 Comptes 2023 natures'!W49</f>
        <v>0</v>
      </c>
      <c r="X29" s="135">
        <f>'4.1 Comptes 2023 natures'!X49</f>
        <v>0</v>
      </c>
      <c r="Y29" s="135">
        <f>'4.1 Comptes 2023 natures'!Y49</f>
        <v>0</v>
      </c>
      <c r="Z29" s="135">
        <f>'4.1 Comptes 2023 natures'!Z49</f>
        <v>0</v>
      </c>
      <c r="AA29" s="135">
        <f>'4.1 Comptes 2023 natures'!AA49</f>
        <v>0</v>
      </c>
      <c r="AB29" s="135">
        <f>'4.1 Comptes 2023 natures'!AB49</f>
        <v>0</v>
      </c>
      <c r="AC29" s="135">
        <f>'4.1 Comptes 2023 natures'!AC49</f>
        <v>0</v>
      </c>
      <c r="AD29" s="135">
        <f>'4.1 Comptes 2023 natures'!AD49</f>
        <v>0</v>
      </c>
      <c r="AE29" s="135">
        <f>'4.1 Comptes 2023 natures'!AE49</f>
        <v>0</v>
      </c>
      <c r="AF29" s="135">
        <f>'4.1 Comptes 2023 natures'!AF49</f>
        <v>0</v>
      </c>
      <c r="AG29" s="135">
        <f>'4.1 Comptes 2023 natures'!AG49</f>
        <v>0</v>
      </c>
      <c r="AH29" s="135">
        <f>'4.1 Comptes 2023 natures'!AH49</f>
        <v>0</v>
      </c>
      <c r="AI29" s="135">
        <f>'4.1 Comptes 2023 natures'!AI49</f>
        <v>0</v>
      </c>
      <c r="AJ29" s="135">
        <f>'4.1 Comptes 2023 natures'!AJ49</f>
        <v>0</v>
      </c>
      <c r="AK29" s="135">
        <f>'4.1 Comptes 2023 natures'!AK49</f>
        <v>0</v>
      </c>
      <c r="AL29" s="135">
        <f>'4.1 Comptes 2023 natures'!AL49</f>
        <v>0</v>
      </c>
      <c r="AM29" s="135">
        <f>'4.1 Comptes 2023 natures'!AM49</f>
        <v>0</v>
      </c>
      <c r="AN29" s="135">
        <f>'4.1 Comptes 2023 natures'!AN49</f>
        <v>0</v>
      </c>
      <c r="AO29" s="135">
        <f>'4.1 Comptes 2023 natures'!AO49</f>
        <v>0</v>
      </c>
      <c r="AP29" s="135">
        <f>'4.1 Comptes 2023 natures'!AP49</f>
        <v>0</v>
      </c>
      <c r="AQ29" s="135">
        <f>'4.1 Comptes 2023 natures'!AQ49</f>
        <v>0</v>
      </c>
      <c r="AR29" s="135">
        <f>'4.1 Comptes 2023 natures'!AR49</f>
        <v>0</v>
      </c>
      <c r="AS29" s="135">
        <f>'4.1 Comptes 2023 natures'!AS49</f>
        <v>0</v>
      </c>
      <c r="AT29" s="135">
        <f>'4.1 Comptes 2023 natures'!AT49</f>
        <v>0</v>
      </c>
      <c r="AU29" s="135">
        <f>'4.1 Comptes 2023 natures'!AU49</f>
        <v>0</v>
      </c>
      <c r="AV29" s="135">
        <f>'4.1 Comptes 2023 natures'!AV49</f>
        <v>0</v>
      </c>
      <c r="AW29" s="135">
        <f>'4.1 Comptes 2023 natures'!AW49</f>
        <v>0</v>
      </c>
      <c r="AX29" s="135">
        <f>'4.1 Comptes 2023 natures'!AX49</f>
        <v>0</v>
      </c>
      <c r="AY29" s="135">
        <f>'4.1 Comptes 2023 natures'!AY49</f>
        <v>0</v>
      </c>
      <c r="AZ29" s="135">
        <f>'4.1 Comptes 2023 natures'!AZ49</f>
        <v>0</v>
      </c>
      <c r="BA29" s="135">
        <f>'4.1 Comptes 2023 natures'!BA49</f>
        <v>0</v>
      </c>
      <c r="BB29" s="135">
        <f>'4.1 Comptes 2023 natures'!BB49</f>
        <v>0</v>
      </c>
      <c r="BC29" s="135">
        <f>'4.1 Comptes 2023 natures'!BC49</f>
        <v>0</v>
      </c>
      <c r="BD29" s="135">
        <f>'4.1 Comptes 2023 natures'!BD49</f>
        <v>0</v>
      </c>
      <c r="BE29" s="135">
        <f>'4.1 Comptes 2023 natures'!BE49</f>
        <v>0</v>
      </c>
      <c r="BF29" s="135">
        <f>'4.1 Comptes 2023 natures'!BF49</f>
        <v>0</v>
      </c>
      <c r="BG29" s="135">
        <f>'4.1 Comptes 2023 natures'!BG49</f>
        <v>0</v>
      </c>
    </row>
    <row r="30" spans="1:59" x14ac:dyDescent="0.2">
      <c r="C30" s="8">
        <v>365</v>
      </c>
      <c r="D30" s="8" t="s">
        <v>231</v>
      </c>
      <c r="E30" s="19">
        <f>'4.1 Comptes 2023 natures'!E50</f>
        <v>0</v>
      </c>
      <c r="F30" s="19">
        <f>'4.1 Comptes 2023 natures'!F50</f>
        <v>0</v>
      </c>
      <c r="G30" s="19">
        <f>'4.1 Comptes 2023 natures'!G50</f>
        <v>0</v>
      </c>
      <c r="H30" s="19">
        <f>'4.1 Comptes 2023 natures'!H50</f>
        <v>0</v>
      </c>
      <c r="I30" s="19">
        <f>'4.1 Comptes 2023 natures'!I50</f>
        <v>0</v>
      </c>
      <c r="J30" s="19">
        <f>'4.1 Comptes 2023 natures'!J50</f>
        <v>0</v>
      </c>
      <c r="K30" s="19">
        <f>'4.1 Comptes 2023 natures'!K50</f>
        <v>0</v>
      </c>
      <c r="L30" s="19">
        <f>'4.1 Comptes 2023 natures'!L50</f>
        <v>0</v>
      </c>
      <c r="M30" s="19">
        <f>'4.1 Comptes 2023 natures'!M50</f>
        <v>0</v>
      </c>
      <c r="N30" s="19">
        <f>'4.1 Comptes 2023 natures'!N50</f>
        <v>0</v>
      </c>
      <c r="O30" s="19">
        <f>'4.1 Comptes 2023 natures'!O50</f>
        <v>0</v>
      </c>
      <c r="P30" s="19">
        <f>'4.1 Comptes 2023 natures'!P50</f>
        <v>0</v>
      </c>
      <c r="Q30" s="19">
        <f>'4.1 Comptes 2023 natures'!Q50</f>
        <v>0</v>
      </c>
      <c r="R30" s="19">
        <f>'4.1 Comptes 2023 natures'!R50</f>
        <v>0</v>
      </c>
      <c r="S30" s="19">
        <f>'4.1 Comptes 2023 natures'!S50</f>
        <v>0</v>
      </c>
      <c r="T30" s="19">
        <f>'4.1 Comptes 2023 natures'!T50</f>
        <v>0</v>
      </c>
      <c r="U30" s="19">
        <f>'4.1 Comptes 2023 natures'!U50</f>
        <v>8100</v>
      </c>
      <c r="V30" s="19">
        <f>'4.1 Comptes 2023 natures'!V50</f>
        <v>0</v>
      </c>
      <c r="W30" s="19">
        <f>'4.1 Comptes 2023 natures'!W50</f>
        <v>0</v>
      </c>
      <c r="X30" s="19">
        <f>'4.1 Comptes 2023 natures'!X50</f>
        <v>0</v>
      </c>
      <c r="Y30" s="19">
        <f>'4.1 Comptes 2023 natures'!Y50</f>
        <v>0</v>
      </c>
      <c r="Z30" s="19">
        <f>'4.1 Comptes 2023 natures'!Z50</f>
        <v>0</v>
      </c>
      <c r="AA30" s="19">
        <f>'4.1 Comptes 2023 natures'!AA50</f>
        <v>0</v>
      </c>
      <c r="AB30" s="19">
        <f>'4.1 Comptes 2023 natures'!AB50</f>
        <v>0</v>
      </c>
      <c r="AC30" s="19">
        <f>'4.1 Comptes 2023 natures'!AC50</f>
        <v>0</v>
      </c>
      <c r="AD30" s="19">
        <f>'4.1 Comptes 2023 natures'!AD50</f>
        <v>0</v>
      </c>
      <c r="AE30" s="19">
        <f>'4.1 Comptes 2023 natures'!AE50</f>
        <v>0</v>
      </c>
      <c r="AF30" s="19">
        <f>'4.1 Comptes 2023 natures'!AF50</f>
        <v>0</v>
      </c>
      <c r="AG30" s="19">
        <f>'4.1 Comptes 2023 natures'!AG50</f>
        <v>0</v>
      </c>
      <c r="AH30" s="19">
        <f>'4.1 Comptes 2023 natures'!AH50</f>
        <v>0</v>
      </c>
      <c r="AI30" s="19">
        <f>'4.1 Comptes 2023 natures'!AI50</f>
        <v>0</v>
      </c>
      <c r="AJ30" s="19">
        <f>'4.1 Comptes 2023 natures'!AJ50</f>
        <v>0</v>
      </c>
      <c r="AK30" s="19">
        <f>'4.1 Comptes 2023 natures'!AK50</f>
        <v>0</v>
      </c>
      <c r="AL30" s="19">
        <f>'4.1 Comptes 2023 natures'!AL50</f>
        <v>0</v>
      </c>
      <c r="AM30" s="19">
        <f>'4.1 Comptes 2023 natures'!AM50</f>
        <v>0</v>
      </c>
      <c r="AN30" s="19">
        <f>'4.1 Comptes 2023 natures'!AN50</f>
        <v>0</v>
      </c>
      <c r="AO30" s="19">
        <f>'4.1 Comptes 2023 natures'!AO50</f>
        <v>0</v>
      </c>
      <c r="AP30" s="19">
        <f>'4.1 Comptes 2023 natures'!AP50</f>
        <v>0</v>
      </c>
      <c r="AQ30" s="19">
        <f>'4.1 Comptes 2023 natures'!AQ50</f>
        <v>0</v>
      </c>
      <c r="AR30" s="19">
        <f>'4.1 Comptes 2023 natures'!AR50</f>
        <v>0</v>
      </c>
      <c r="AS30" s="19">
        <f>'4.1 Comptes 2023 natures'!AS50</f>
        <v>0</v>
      </c>
      <c r="AT30" s="19">
        <f>'4.1 Comptes 2023 natures'!AT50</f>
        <v>0</v>
      </c>
      <c r="AU30" s="19">
        <f>'4.1 Comptes 2023 natures'!AU50</f>
        <v>0</v>
      </c>
      <c r="AV30" s="19">
        <f>'4.1 Comptes 2023 natures'!AV50</f>
        <v>0</v>
      </c>
      <c r="AW30" s="19">
        <f>'4.1 Comptes 2023 natures'!AW50</f>
        <v>0</v>
      </c>
      <c r="AX30" s="19">
        <f>'4.1 Comptes 2023 natures'!AX50</f>
        <v>0</v>
      </c>
      <c r="AY30" s="19">
        <f>'4.1 Comptes 2023 natures'!AY50</f>
        <v>13000</v>
      </c>
      <c r="AZ30" s="19">
        <f>'4.1 Comptes 2023 natures'!AZ50</f>
        <v>0</v>
      </c>
      <c r="BA30" s="19">
        <f>'4.1 Comptes 2023 natures'!BA50</f>
        <v>0</v>
      </c>
      <c r="BB30" s="19">
        <f>'4.1 Comptes 2023 natures'!BB50</f>
        <v>0</v>
      </c>
      <c r="BC30" s="19">
        <f>'4.1 Comptes 2023 natures'!BC50</f>
        <v>0</v>
      </c>
      <c r="BD30" s="19">
        <f>'4.1 Comptes 2023 natures'!BD50</f>
        <v>21100</v>
      </c>
      <c r="BE30" s="19">
        <f>'4.1 Comptes 2023 natures'!BE50</f>
        <v>8100</v>
      </c>
      <c r="BF30" s="19">
        <f>'4.1 Comptes 2023 natures'!BF50</f>
        <v>0</v>
      </c>
      <c r="BG30" s="19">
        <f>'4.1 Comptes 2023 natures'!BG50</f>
        <v>13000</v>
      </c>
    </row>
    <row r="31" spans="1:59" x14ac:dyDescent="0.2">
      <c r="C31" s="8">
        <v>366</v>
      </c>
      <c r="D31" s="8" t="s">
        <v>113</v>
      </c>
      <c r="E31" s="19">
        <f>'4.1 Comptes 2023 natures'!E51</f>
        <v>7905.29</v>
      </c>
      <c r="F31" s="19">
        <f>'4.1 Comptes 2023 natures'!F51</f>
        <v>0</v>
      </c>
      <c r="G31" s="19">
        <f>'4.1 Comptes 2023 natures'!G51</f>
        <v>0</v>
      </c>
      <c r="H31" s="19">
        <f>'4.1 Comptes 2023 natures'!H51</f>
        <v>2572.4499999999998</v>
      </c>
      <c r="I31" s="19">
        <f>'4.1 Comptes 2023 natures'!I51</f>
        <v>166396.6</v>
      </c>
      <c r="J31" s="19">
        <f>'4.1 Comptes 2023 natures'!J51</f>
        <v>0</v>
      </c>
      <c r="K31" s="19">
        <f>'4.1 Comptes 2023 natures'!K51</f>
        <v>14467.75</v>
      </c>
      <c r="L31" s="19">
        <f>'4.1 Comptes 2023 natures'!L51</f>
        <v>603909</v>
      </c>
      <c r="M31" s="19">
        <f>'4.1 Comptes 2023 natures'!M51</f>
        <v>10700</v>
      </c>
      <c r="N31" s="19">
        <f>'4.1 Comptes 2023 natures'!N51</f>
        <v>0</v>
      </c>
      <c r="O31" s="19">
        <f>'4.1 Comptes 2023 natures'!O51</f>
        <v>74430.89</v>
      </c>
      <c r="P31" s="19">
        <f>'4.1 Comptes 2023 natures'!P51</f>
        <v>3001.3</v>
      </c>
      <c r="Q31" s="19">
        <f>'4.1 Comptes 2023 natures'!Q51</f>
        <v>0</v>
      </c>
      <c r="R31" s="19">
        <f>'4.1 Comptes 2023 natures'!R51</f>
        <v>0</v>
      </c>
      <c r="S31" s="19">
        <f>'4.1 Comptes 2023 natures'!S51</f>
        <v>0</v>
      </c>
      <c r="T31" s="19">
        <f>'4.1 Comptes 2023 natures'!T51</f>
        <v>0</v>
      </c>
      <c r="U31" s="19">
        <f>'4.1 Comptes 2023 natures'!U51</f>
        <v>667.55</v>
      </c>
      <c r="V31" s="19">
        <f>'4.1 Comptes 2023 natures'!V51</f>
        <v>0</v>
      </c>
      <c r="W31" s="19">
        <f>'4.1 Comptes 2023 natures'!W51</f>
        <v>13302.8</v>
      </c>
      <c r="X31" s="19">
        <f>'4.1 Comptes 2023 natures'!X51</f>
        <v>0</v>
      </c>
      <c r="Y31" s="19">
        <f>'4.1 Comptes 2023 natures'!Y51</f>
        <v>0</v>
      </c>
      <c r="Z31" s="19">
        <f>'4.1 Comptes 2023 natures'!Z51</f>
        <v>0</v>
      </c>
      <c r="AA31" s="19">
        <f>'4.1 Comptes 2023 natures'!AA51</f>
        <v>0</v>
      </c>
      <c r="AB31" s="19">
        <f>'4.1 Comptes 2023 natures'!AB51</f>
        <v>0</v>
      </c>
      <c r="AC31" s="19">
        <f>'4.1 Comptes 2023 natures'!AC51</f>
        <v>0</v>
      </c>
      <c r="AD31" s="19">
        <f>'4.1 Comptes 2023 natures'!AD51</f>
        <v>0</v>
      </c>
      <c r="AE31" s="19">
        <f>'4.1 Comptes 2023 natures'!AE51</f>
        <v>0</v>
      </c>
      <c r="AF31" s="19">
        <f>'4.1 Comptes 2023 natures'!AF51</f>
        <v>0</v>
      </c>
      <c r="AG31" s="19">
        <f>'4.1 Comptes 2023 natures'!AG51</f>
        <v>0</v>
      </c>
      <c r="AH31" s="19">
        <f>'4.1 Comptes 2023 natures'!AH51</f>
        <v>0</v>
      </c>
      <c r="AI31" s="19">
        <f>'4.1 Comptes 2023 natures'!AI51</f>
        <v>0</v>
      </c>
      <c r="AJ31" s="19">
        <f>'4.1 Comptes 2023 natures'!AJ51</f>
        <v>0</v>
      </c>
      <c r="AK31" s="19">
        <f>'4.1 Comptes 2023 natures'!AK51</f>
        <v>0</v>
      </c>
      <c r="AL31" s="19">
        <f>'4.1 Comptes 2023 natures'!AL51</f>
        <v>0</v>
      </c>
      <c r="AM31" s="19">
        <f>'4.1 Comptes 2023 natures'!AM51</f>
        <v>0</v>
      </c>
      <c r="AN31" s="19">
        <f>'4.1 Comptes 2023 natures'!AN51</f>
        <v>0</v>
      </c>
      <c r="AO31" s="19">
        <f>'4.1 Comptes 2023 natures'!AO51</f>
        <v>607</v>
      </c>
      <c r="AP31" s="19">
        <f>'4.1 Comptes 2023 natures'!AP51</f>
        <v>567</v>
      </c>
      <c r="AQ31" s="19">
        <f>'4.1 Comptes 2023 natures'!AQ51</f>
        <v>0</v>
      </c>
      <c r="AR31" s="19">
        <f>'4.1 Comptes 2023 natures'!AR51</f>
        <v>422</v>
      </c>
      <c r="AS31" s="19">
        <f>'4.1 Comptes 2023 natures'!AS51</f>
        <v>0</v>
      </c>
      <c r="AT31" s="19">
        <f>'4.1 Comptes 2023 natures'!AT51</f>
        <v>338</v>
      </c>
      <c r="AU31" s="19">
        <f>'4.1 Comptes 2023 natures'!AU51</f>
        <v>0</v>
      </c>
      <c r="AV31" s="19">
        <f>'4.1 Comptes 2023 natures'!AV51</f>
        <v>633</v>
      </c>
      <c r="AW31" s="19">
        <f>'4.1 Comptes 2023 natures'!AW51</f>
        <v>442</v>
      </c>
      <c r="AX31" s="19">
        <f>'4.1 Comptes 2023 natures'!AX51</f>
        <v>311</v>
      </c>
      <c r="AY31" s="19">
        <f>'4.1 Comptes 2023 natures'!AY51</f>
        <v>1597</v>
      </c>
      <c r="AZ31" s="19">
        <f>'4.1 Comptes 2023 natures'!AZ51</f>
        <v>319</v>
      </c>
      <c r="BA31" s="19">
        <f>'4.1 Comptes 2023 natures'!BA51</f>
        <v>1083.4000000000001</v>
      </c>
      <c r="BB31" s="19">
        <f>'4.1 Comptes 2023 natures'!BB51</f>
        <v>0</v>
      </c>
      <c r="BC31" s="19">
        <f>'4.1 Comptes 2023 natures'!BC51</f>
        <v>590</v>
      </c>
      <c r="BD31" s="19">
        <f>'4.1 Comptes 2023 natures'!BD51</f>
        <v>904263.03000000014</v>
      </c>
      <c r="BE31" s="19">
        <f>'4.1 Comptes 2023 natures'!BE51</f>
        <v>897353.63000000012</v>
      </c>
      <c r="BF31" s="19">
        <f>'4.1 Comptes 2023 natures'!BF51</f>
        <v>0</v>
      </c>
      <c r="BG31" s="19">
        <f>'4.1 Comptes 2023 natures'!BG51</f>
        <v>6909.4</v>
      </c>
    </row>
    <row r="32" spans="1:59" x14ac:dyDescent="0.2">
      <c r="C32" s="8">
        <v>389</v>
      </c>
      <c r="D32" s="8" t="s">
        <v>286</v>
      </c>
      <c r="E32" s="19">
        <f>'4.1 Comptes 2023 natures'!E63</f>
        <v>0</v>
      </c>
      <c r="F32" s="19">
        <f>'4.1 Comptes 2023 natures'!F63</f>
        <v>0</v>
      </c>
      <c r="G32" s="19">
        <f>'4.1 Comptes 2023 natures'!G63</f>
        <v>0</v>
      </c>
      <c r="H32" s="19">
        <f>'4.1 Comptes 2023 natures'!H63</f>
        <v>0</v>
      </c>
      <c r="I32" s="19">
        <f>'4.1 Comptes 2023 natures'!I63</f>
        <v>150000</v>
      </c>
      <c r="J32" s="19">
        <f>'4.1 Comptes 2023 natures'!J63</f>
        <v>190359.86</v>
      </c>
      <c r="K32" s="19">
        <f>'4.1 Comptes 2023 natures'!K63</f>
        <v>900000</v>
      </c>
      <c r="L32" s="19">
        <f>'4.1 Comptes 2023 natures'!L63</f>
        <v>0</v>
      </c>
      <c r="M32" s="19">
        <f>'4.1 Comptes 2023 natures'!M63</f>
        <v>0</v>
      </c>
      <c r="N32" s="19">
        <f>'4.1 Comptes 2023 natures'!N63</f>
        <v>0</v>
      </c>
      <c r="O32" s="19">
        <f>'4.1 Comptes 2023 natures'!O63</f>
        <v>0</v>
      </c>
      <c r="P32" s="19">
        <f>'4.1 Comptes 2023 natures'!P63</f>
        <v>0</v>
      </c>
      <c r="Q32" s="19">
        <f>'4.1 Comptes 2023 natures'!Q63</f>
        <v>0</v>
      </c>
      <c r="R32" s="19">
        <f>'4.1 Comptes 2023 natures'!R63</f>
        <v>130000</v>
      </c>
      <c r="S32" s="19">
        <f>'4.1 Comptes 2023 natures'!S63</f>
        <v>0</v>
      </c>
      <c r="T32" s="19">
        <f>'4.1 Comptes 2023 natures'!T63</f>
        <v>0</v>
      </c>
      <c r="U32" s="19">
        <f>'4.1 Comptes 2023 natures'!U63</f>
        <v>20000</v>
      </c>
      <c r="V32" s="19">
        <f>'4.1 Comptes 2023 natures'!V63</f>
        <v>30000</v>
      </c>
      <c r="W32" s="19">
        <f>'4.1 Comptes 2023 natures'!W63</f>
        <v>500000</v>
      </c>
      <c r="X32" s="19">
        <f>'4.1 Comptes 2023 natures'!X63</f>
        <v>0</v>
      </c>
      <c r="Y32" s="19">
        <f>'4.1 Comptes 2023 natures'!Y63</f>
        <v>0</v>
      </c>
      <c r="Z32" s="19">
        <f>'4.1 Comptes 2023 natures'!Z63</f>
        <v>3397569.32</v>
      </c>
      <c r="AA32" s="19">
        <f>'4.1 Comptes 2023 natures'!AA63</f>
        <v>0</v>
      </c>
      <c r="AB32" s="19">
        <f>'4.1 Comptes 2023 natures'!AB63</f>
        <v>0</v>
      </c>
      <c r="AC32" s="19">
        <f>'4.1 Comptes 2023 natures'!AC63</f>
        <v>371205.37</v>
      </c>
      <c r="AD32" s="19">
        <f>'4.1 Comptes 2023 natures'!AD63</f>
        <v>0</v>
      </c>
      <c r="AE32" s="19">
        <f>'4.1 Comptes 2023 natures'!AE63</f>
        <v>460000</v>
      </c>
      <c r="AF32" s="19">
        <f>'4.1 Comptes 2023 natures'!AF63</f>
        <v>0</v>
      </c>
      <c r="AG32" s="19">
        <f>'4.1 Comptes 2023 natures'!AG63</f>
        <v>900000</v>
      </c>
      <c r="AH32" s="19">
        <f>'4.1 Comptes 2023 natures'!AH63</f>
        <v>0</v>
      </c>
      <c r="AI32" s="19">
        <f>'4.1 Comptes 2023 natures'!AI63</f>
        <v>80000</v>
      </c>
      <c r="AJ32" s="19">
        <f>'4.1 Comptes 2023 natures'!AJ63</f>
        <v>470300.7</v>
      </c>
      <c r="AK32" s="19">
        <f>'4.1 Comptes 2023 natures'!AK63</f>
        <v>723729.2</v>
      </c>
      <c r="AL32" s="19">
        <f>'4.1 Comptes 2023 natures'!AL63</f>
        <v>0</v>
      </c>
      <c r="AM32" s="19">
        <f>'4.1 Comptes 2023 natures'!AM63</f>
        <v>15690.5</v>
      </c>
      <c r="AN32" s="19">
        <f>'4.1 Comptes 2023 natures'!AN63</f>
        <v>2170000</v>
      </c>
      <c r="AO32" s="19">
        <f>'4.1 Comptes 2023 natures'!AO63</f>
        <v>0</v>
      </c>
      <c r="AP32" s="19">
        <f>'4.1 Comptes 2023 natures'!AP63</f>
        <v>250000</v>
      </c>
      <c r="AQ32" s="19">
        <f>'4.1 Comptes 2023 natures'!AQ63</f>
        <v>115000</v>
      </c>
      <c r="AR32" s="19">
        <f>'4.1 Comptes 2023 natures'!AR63</f>
        <v>217.68</v>
      </c>
      <c r="AS32" s="19">
        <f>'4.1 Comptes 2023 natures'!AS63</f>
        <v>0</v>
      </c>
      <c r="AT32" s="19">
        <f>'4.1 Comptes 2023 natures'!AT63</f>
        <v>300000</v>
      </c>
      <c r="AU32" s="19">
        <f>'4.1 Comptes 2023 natures'!AU63</f>
        <v>0</v>
      </c>
      <c r="AV32" s="19">
        <f>'4.1 Comptes 2023 natures'!AV63</f>
        <v>200000</v>
      </c>
      <c r="AW32" s="19">
        <f>'4.1 Comptes 2023 natures'!AW63</f>
        <v>0</v>
      </c>
      <c r="AX32" s="19">
        <f>'4.1 Comptes 2023 natures'!AX63</f>
        <v>0</v>
      </c>
      <c r="AY32" s="19">
        <f>'4.1 Comptes 2023 natures'!AY63</f>
        <v>250000</v>
      </c>
      <c r="AZ32" s="19">
        <f>'4.1 Comptes 2023 natures'!AZ63</f>
        <v>0</v>
      </c>
      <c r="BA32" s="19">
        <f>'4.1 Comptes 2023 natures'!BA63</f>
        <v>0</v>
      </c>
      <c r="BB32" s="19">
        <f>'4.1 Comptes 2023 natures'!BB63</f>
        <v>0</v>
      </c>
      <c r="BC32" s="19">
        <f>'4.1 Comptes 2023 natures'!BC63</f>
        <v>80000</v>
      </c>
      <c r="BD32" s="19">
        <f>'4.1 Comptes 2023 natures'!BD63</f>
        <v>11704072.629999999</v>
      </c>
      <c r="BE32" s="19">
        <f>'4.1 Comptes 2023 natures'!BE63</f>
        <v>1920359.8599999999</v>
      </c>
      <c r="BF32" s="19">
        <f>'4.1 Comptes 2023 natures'!BF63</f>
        <v>5208774.6899999995</v>
      </c>
      <c r="BG32" s="19">
        <f>'4.1 Comptes 2023 natures'!BG63</f>
        <v>4574938.08</v>
      </c>
    </row>
    <row r="33" spans="1:59" x14ac:dyDescent="0.2">
      <c r="C33" s="8">
        <v>3898</v>
      </c>
      <c r="D33" s="8" t="s">
        <v>288</v>
      </c>
      <c r="E33" s="19">
        <f>'4.1 Comptes 2023 natures'!E182</f>
        <v>0</v>
      </c>
      <c r="F33" s="19">
        <f>'4.1 Comptes 2023 natures'!F182</f>
        <v>0</v>
      </c>
      <c r="G33" s="19">
        <f>'4.1 Comptes 2023 natures'!G182</f>
        <v>0</v>
      </c>
      <c r="H33" s="19">
        <f>'4.1 Comptes 2023 natures'!H182</f>
        <v>0</v>
      </c>
      <c r="I33" s="19">
        <f>'4.1 Comptes 2023 natures'!I182</f>
        <v>150000</v>
      </c>
      <c r="J33" s="19">
        <f>'4.1 Comptes 2023 natures'!J182</f>
        <v>190359.86</v>
      </c>
      <c r="K33" s="19">
        <f>'4.1 Comptes 2023 natures'!K182</f>
        <v>900000</v>
      </c>
      <c r="L33" s="19">
        <f>'4.1 Comptes 2023 natures'!L182</f>
        <v>0</v>
      </c>
      <c r="M33" s="19">
        <f>'4.1 Comptes 2023 natures'!M182</f>
        <v>0</v>
      </c>
      <c r="N33" s="19">
        <f>'4.1 Comptes 2023 natures'!N182</f>
        <v>0</v>
      </c>
      <c r="O33" s="19">
        <f>'4.1 Comptes 2023 natures'!O182</f>
        <v>0</v>
      </c>
      <c r="P33" s="19">
        <f>'4.1 Comptes 2023 natures'!P182</f>
        <v>0</v>
      </c>
      <c r="Q33" s="19">
        <f>'4.1 Comptes 2023 natures'!Q182</f>
        <v>0</v>
      </c>
      <c r="R33" s="19">
        <f>'4.1 Comptes 2023 natures'!R182</f>
        <v>130000</v>
      </c>
      <c r="S33" s="19">
        <f>'4.1 Comptes 2023 natures'!S182</f>
        <v>0</v>
      </c>
      <c r="T33" s="19">
        <f>'4.1 Comptes 2023 natures'!T182</f>
        <v>0</v>
      </c>
      <c r="U33" s="19">
        <f>'4.1 Comptes 2023 natures'!U182</f>
        <v>20000</v>
      </c>
      <c r="V33" s="19">
        <f>'4.1 Comptes 2023 natures'!V182</f>
        <v>30000</v>
      </c>
      <c r="W33" s="19">
        <f>'4.1 Comptes 2023 natures'!W182</f>
        <v>500000</v>
      </c>
      <c r="X33" s="19">
        <f>'4.1 Comptes 2023 natures'!X182</f>
        <v>0</v>
      </c>
      <c r="Y33" s="19">
        <f>'4.1 Comptes 2023 natures'!Y182</f>
        <v>0</v>
      </c>
      <c r="Z33" s="19">
        <f>'4.1 Comptes 2023 natures'!Z182</f>
        <v>3397569.32</v>
      </c>
      <c r="AA33" s="19">
        <f>'4.1 Comptes 2023 natures'!AA182</f>
        <v>0</v>
      </c>
      <c r="AB33" s="19">
        <f>'4.1 Comptes 2023 natures'!AB182</f>
        <v>0</v>
      </c>
      <c r="AC33" s="19">
        <f>'4.1 Comptes 2023 natures'!AC182</f>
        <v>371205.37</v>
      </c>
      <c r="AD33" s="19">
        <f>'4.1 Comptes 2023 natures'!AD182</f>
        <v>0</v>
      </c>
      <c r="AE33" s="19">
        <f>'4.1 Comptes 2023 natures'!AE182</f>
        <v>460000</v>
      </c>
      <c r="AF33" s="19">
        <f>'4.1 Comptes 2023 natures'!AF182</f>
        <v>0</v>
      </c>
      <c r="AG33" s="19">
        <f>'4.1 Comptes 2023 natures'!AG182</f>
        <v>900000</v>
      </c>
      <c r="AH33" s="19">
        <f>'4.1 Comptes 2023 natures'!AH182</f>
        <v>0</v>
      </c>
      <c r="AI33" s="19">
        <f>'4.1 Comptes 2023 natures'!AI182</f>
        <v>80000</v>
      </c>
      <c r="AJ33" s="19">
        <f>'4.1 Comptes 2023 natures'!AJ182</f>
        <v>470300.7</v>
      </c>
      <c r="AK33" s="19">
        <f>'4.1 Comptes 2023 natures'!AK182</f>
        <v>723729.2</v>
      </c>
      <c r="AL33" s="19">
        <f>'4.1 Comptes 2023 natures'!AL182</f>
        <v>0</v>
      </c>
      <c r="AM33" s="19">
        <f>'4.1 Comptes 2023 natures'!AM182</f>
        <v>15690.5</v>
      </c>
      <c r="AN33" s="19">
        <f>'4.1 Comptes 2023 natures'!AN182</f>
        <v>800000</v>
      </c>
      <c r="AO33" s="19">
        <f>'4.1 Comptes 2023 natures'!AO182</f>
        <v>0</v>
      </c>
      <c r="AP33" s="19">
        <f>'4.1 Comptes 2023 natures'!AP182</f>
        <v>250000</v>
      </c>
      <c r="AQ33" s="19">
        <f>'4.1 Comptes 2023 natures'!AQ182</f>
        <v>115000</v>
      </c>
      <c r="AR33" s="19">
        <f>'4.1 Comptes 2023 natures'!AR182</f>
        <v>217.68</v>
      </c>
      <c r="AS33" s="19">
        <f>'4.1 Comptes 2023 natures'!AS182</f>
        <v>0</v>
      </c>
      <c r="AT33" s="19">
        <f>'4.1 Comptes 2023 natures'!AT182</f>
        <v>300000</v>
      </c>
      <c r="AU33" s="19">
        <f>'4.1 Comptes 2023 natures'!AU182</f>
        <v>0</v>
      </c>
      <c r="AV33" s="19">
        <f>'4.1 Comptes 2023 natures'!AV182</f>
        <v>200000</v>
      </c>
      <c r="AW33" s="19">
        <f>'4.1 Comptes 2023 natures'!AW182</f>
        <v>0</v>
      </c>
      <c r="AX33" s="19">
        <f>'4.1 Comptes 2023 natures'!AX182</f>
        <v>0</v>
      </c>
      <c r="AY33" s="19">
        <f>'4.1 Comptes 2023 natures'!AY182</f>
        <v>0</v>
      </c>
      <c r="AZ33" s="19">
        <f>'4.1 Comptes 2023 natures'!AZ182</f>
        <v>0</v>
      </c>
      <c r="BA33" s="19">
        <f>'4.1 Comptes 2023 natures'!BA182</f>
        <v>0</v>
      </c>
      <c r="BB33" s="19">
        <f>'4.1 Comptes 2023 natures'!BB182</f>
        <v>0</v>
      </c>
      <c r="BC33" s="19">
        <f>'4.1 Comptes 2023 natures'!BC182</f>
        <v>80000</v>
      </c>
      <c r="BD33" s="19">
        <f>'4.1 Comptes 2023 natures'!BD182</f>
        <v>10084072.629999999</v>
      </c>
      <c r="BE33" s="19">
        <f>'4.1 Comptes 2023 natures'!BE182</f>
        <v>1920359.8599999999</v>
      </c>
      <c r="BF33" s="19">
        <f>'4.1 Comptes 2023 natures'!BF182</f>
        <v>5208774.6899999995</v>
      </c>
      <c r="BG33" s="19">
        <f>'4.1 Comptes 2023 natures'!BG182</f>
        <v>2954938.08</v>
      </c>
    </row>
    <row r="34" spans="1:59" x14ac:dyDescent="0.2">
      <c r="C34" s="8">
        <v>9031</v>
      </c>
      <c r="D34" s="8" t="s">
        <v>289</v>
      </c>
      <c r="E34" s="19">
        <f>'4.1 Comptes 2023 natures'!E189</f>
        <v>0</v>
      </c>
      <c r="F34" s="19">
        <f>'4.1 Comptes 2023 natures'!F189</f>
        <v>0</v>
      </c>
      <c r="G34" s="19">
        <f>'4.1 Comptes 2023 natures'!G189</f>
        <v>0</v>
      </c>
      <c r="H34" s="19">
        <f>'4.1 Comptes 2023 natures'!H189</f>
        <v>0</v>
      </c>
      <c r="I34" s="19">
        <f>'4.1 Comptes 2023 natures'!I189</f>
        <v>0</v>
      </c>
      <c r="J34" s="19">
        <f>'4.1 Comptes 2023 natures'!J189</f>
        <v>0</v>
      </c>
      <c r="K34" s="19">
        <f>'4.1 Comptes 2023 natures'!K189</f>
        <v>0</v>
      </c>
      <c r="L34" s="19">
        <f>'4.1 Comptes 2023 natures'!L189</f>
        <v>0</v>
      </c>
      <c r="M34" s="19">
        <f>'4.1 Comptes 2023 natures'!M189</f>
        <v>0</v>
      </c>
      <c r="N34" s="19">
        <f>'4.1 Comptes 2023 natures'!N189</f>
        <v>0</v>
      </c>
      <c r="O34" s="19">
        <f>'4.1 Comptes 2023 natures'!O189</f>
        <v>0</v>
      </c>
      <c r="P34" s="19">
        <f>'4.1 Comptes 2023 natures'!P189</f>
        <v>0</v>
      </c>
      <c r="Q34" s="19">
        <f>'4.1 Comptes 2023 natures'!Q189</f>
        <v>0</v>
      </c>
      <c r="R34" s="19">
        <f>'4.1 Comptes 2023 natures'!R189</f>
        <v>0</v>
      </c>
      <c r="S34" s="19">
        <f>'4.1 Comptes 2023 natures'!S189</f>
        <v>0</v>
      </c>
      <c r="T34" s="19">
        <f>'4.1 Comptes 2023 natures'!T189</f>
        <v>0</v>
      </c>
      <c r="U34" s="19">
        <f>'4.1 Comptes 2023 natures'!U189</f>
        <v>0</v>
      </c>
      <c r="V34" s="19">
        <f>'4.1 Comptes 2023 natures'!V189</f>
        <v>0</v>
      </c>
      <c r="W34" s="19">
        <f>'4.1 Comptes 2023 natures'!W189</f>
        <v>0</v>
      </c>
      <c r="X34" s="19">
        <f>'4.1 Comptes 2023 natures'!X189</f>
        <v>0</v>
      </c>
      <c r="Y34" s="19">
        <f>'4.1 Comptes 2023 natures'!Y189</f>
        <v>0</v>
      </c>
      <c r="Z34" s="19">
        <f>'4.1 Comptes 2023 natures'!Z189</f>
        <v>0</v>
      </c>
      <c r="AA34" s="19">
        <f>'4.1 Comptes 2023 natures'!AA189</f>
        <v>0</v>
      </c>
      <c r="AB34" s="19">
        <f>'4.1 Comptes 2023 natures'!AB189</f>
        <v>0</v>
      </c>
      <c r="AC34" s="19">
        <f>'4.1 Comptes 2023 natures'!AC189</f>
        <v>0</v>
      </c>
      <c r="AD34" s="19">
        <f>'4.1 Comptes 2023 natures'!AD189</f>
        <v>0</v>
      </c>
      <c r="AE34" s="19">
        <f>'4.1 Comptes 2023 natures'!AE189</f>
        <v>0</v>
      </c>
      <c r="AF34" s="19">
        <f>'4.1 Comptes 2023 natures'!AF189</f>
        <v>0</v>
      </c>
      <c r="AG34" s="19">
        <f>'4.1 Comptes 2023 natures'!AG189</f>
        <v>0</v>
      </c>
      <c r="AH34" s="19">
        <f>'4.1 Comptes 2023 natures'!AH189</f>
        <v>0</v>
      </c>
      <c r="AI34" s="19">
        <f>'4.1 Comptes 2023 natures'!AI189</f>
        <v>0</v>
      </c>
      <c r="AJ34" s="19">
        <f>'4.1 Comptes 2023 natures'!AJ189</f>
        <v>0</v>
      </c>
      <c r="AK34" s="19">
        <f>'4.1 Comptes 2023 natures'!AK189</f>
        <v>0</v>
      </c>
      <c r="AL34" s="19">
        <f>'4.1 Comptes 2023 natures'!AL189</f>
        <v>0</v>
      </c>
      <c r="AM34" s="19">
        <f>'4.1 Comptes 2023 natures'!AM189</f>
        <v>0</v>
      </c>
      <c r="AN34" s="19">
        <f>'4.1 Comptes 2023 natures'!AN189</f>
        <v>0</v>
      </c>
      <c r="AO34" s="19">
        <f>'4.1 Comptes 2023 natures'!AO189</f>
        <v>0</v>
      </c>
      <c r="AP34" s="19">
        <f>'4.1 Comptes 2023 natures'!AP189</f>
        <v>0</v>
      </c>
      <c r="AQ34" s="19">
        <f>'4.1 Comptes 2023 natures'!AQ189</f>
        <v>0</v>
      </c>
      <c r="AR34" s="19">
        <f>'4.1 Comptes 2023 natures'!AR189</f>
        <v>0</v>
      </c>
      <c r="AS34" s="19">
        <f>'4.1 Comptes 2023 natures'!AS189</f>
        <v>0</v>
      </c>
      <c r="AT34" s="19">
        <f>'4.1 Comptes 2023 natures'!AT189</f>
        <v>0</v>
      </c>
      <c r="AU34" s="19">
        <f>'4.1 Comptes 2023 natures'!AU189</f>
        <v>0</v>
      </c>
      <c r="AV34" s="19">
        <f>'4.1 Comptes 2023 natures'!AV189</f>
        <v>0</v>
      </c>
      <c r="AW34" s="19">
        <f>'4.1 Comptes 2023 natures'!AW189</f>
        <v>0</v>
      </c>
      <c r="AX34" s="19">
        <f>'4.1 Comptes 2023 natures'!AX189</f>
        <v>0</v>
      </c>
      <c r="AY34" s="19">
        <f>'4.1 Comptes 2023 natures'!AY189</f>
        <v>0</v>
      </c>
      <c r="AZ34" s="19">
        <f>'4.1 Comptes 2023 natures'!AZ189</f>
        <v>0</v>
      </c>
      <c r="BA34" s="19">
        <f>'4.1 Comptes 2023 natures'!BA189</f>
        <v>0</v>
      </c>
      <c r="BB34" s="19">
        <f>'4.1 Comptes 2023 natures'!BB189</f>
        <v>0</v>
      </c>
      <c r="BC34" s="19">
        <f>'4.1 Comptes 2023 natures'!BC189</f>
        <v>0</v>
      </c>
      <c r="BD34" s="19">
        <f>'4.1 Comptes 2023 natures'!BD189</f>
        <v>0</v>
      </c>
      <c r="BE34" s="19">
        <f>'4.1 Comptes 2023 natures'!BE189</f>
        <v>0</v>
      </c>
      <c r="BF34" s="19">
        <f>'4.1 Comptes 2023 natures'!BF189</f>
        <v>0</v>
      </c>
      <c r="BG34" s="19">
        <f>'4.1 Comptes 2023 natures'!BG189</f>
        <v>0</v>
      </c>
    </row>
    <row r="35" spans="1:59" x14ac:dyDescent="0.2">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1:59" ht="20.25" x14ac:dyDescent="0.3">
      <c r="A36" s="23">
        <v>4</v>
      </c>
      <c r="B36" s="23"/>
      <c r="C36" s="23"/>
      <c r="D36" s="23" t="s">
        <v>566</v>
      </c>
      <c r="E36" s="213"/>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3"/>
      <c r="AQ36" s="213"/>
      <c r="AR36" s="213"/>
      <c r="AS36" s="213"/>
      <c r="AT36" s="213"/>
      <c r="AU36" s="213"/>
      <c r="AV36" s="213"/>
      <c r="AW36" s="213"/>
      <c r="AX36" s="213"/>
      <c r="AY36" s="213"/>
      <c r="AZ36" s="213"/>
      <c r="BA36" s="213"/>
      <c r="BB36" s="213"/>
      <c r="BC36" s="213"/>
      <c r="BD36" s="213"/>
      <c r="BE36" s="213"/>
      <c r="BF36" s="213"/>
      <c r="BG36" s="213"/>
    </row>
    <row r="37" spans="1:59" x14ac:dyDescent="0.2">
      <c r="C37" s="8">
        <v>4</v>
      </c>
      <c r="D37" s="8" t="s">
        <v>133</v>
      </c>
      <c r="E37" s="19">
        <f>'4.1 Comptes 2023 natures'!E76</f>
        <v>4173515.8</v>
      </c>
      <c r="F37" s="19">
        <f>'4.1 Comptes 2023 natures'!F76</f>
        <v>1250774.7000000002</v>
      </c>
      <c r="G37" s="19">
        <f>'4.1 Comptes 2023 natures'!G76</f>
        <v>1723517.38</v>
      </c>
      <c r="H37" s="19">
        <f>'4.1 Comptes 2023 natures'!H76</f>
        <v>2249327.85</v>
      </c>
      <c r="I37" s="19">
        <f>'4.1 Comptes 2023 natures'!I76</f>
        <v>17577200.880000003</v>
      </c>
      <c r="J37" s="19">
        <f>'4.1 Comptes 2023 natures'!J76</f>
        <v>15225981.550000001</v>
      </c>
      <c r="K37" s="19">
        <f>'4.1 Comptes 2023 natures'!K76</f>
        <v>11966048.100000003</v>
      </c>
      <c r="L37" s="19">
        <f>'4.1 Comptes 2023 natures'!L76</f>
        <v>121245036.62</v>
      </c>
      <c r="M37" s="19">
        <f>'4.1 Comptes 2023 natures'!M76</f>
        <v>8604374.2700000014</v>
      </c>
      <c r="N37" s="19">
        <f>'4.1 Comptes 2023 natures'!N76</f>
        <v>521636.49000000005</v>
      </c>
      <c r="O37" s="19">
        <f>'4.1 Comptes 2023 natures'!O76</f>
        <v>29152374.52</v>
      </c>
      <c r="P37" s="19">
        <f>'4.1 Comptes 2023 natures'!P76</f>
        <v>2064231.6400000001</v>
      </c>
      <c r="Q37" s="19">
        <f>'4.1 Comptes 2023 natures'!Q76</f>
        <v>385240.59</v>
      </c>
      <c r="R37" s="19">
        <f>'4.1 Comptes 2023 natures'!R76</f>
        <v>1838868.9400000002</v>
      </c>
      <c r="S37" s="19">
        <f>'4.1 Comptes 2023 natures'!S76</f>
        <v>1417234.0799999998</v>
      </c>
      <c r="T37" s="19">
        <f>'4.1 Comptes 2023 natures'!T76</f>
        <v>3407247.7600000002</v>
      </c>
      <c r="U37" s="19">
        <f>'4.1 Comptes 2023 natures'!U76</f>
        <v>1071762.5200000003</v>
      </c>
      <c r="V37" s="19">
        <f>'4.1 Comptes 2023 natures'!V76</f>
        <v>2502444.3600000003</v>
      </c>
      <c r="W37" s="19">
        <f>'4.1 Comptes 2023 natures'!W76</f>
        <v>12870647.150000002</v>
      </c>
      <c r="X37" s="19">
        <f>'4.1 Comptes 2023 natures'!X76</f>
        <v>2007494.0599999998</v>
      </c>
      <c r="Y37" s="19">
        <f>'4.1 Comptes 2023 natures'!Y76</f>
        <v>7336082.8700000001</v>
      </c>
      <c r="Z37" s="19">
        <f>'4.1 Comptes 2023 natures'!Z76</f>
        <v>19905517.039999995</v>
      </c>
      <c r="AA37" s="19">
        <f>'4.1 Comptes 2023 natures'!AA76</f>
        <v>901751.94</v>
      </c>
      <c r="AB37" s="19">
        <f>'4.1 Comptes 2023 natures'!AB76</f>
        <v>2574362.3800000004</v>
      </c>
      <c r="AC37" s="19">
        <f>'4.1 Comptes 2023 natures'!AC76</f>
        <v>4057886.8399999989</v>
      </c>
      <c r="AD37" s="19">
        <f>'4.1 Comptes 2023 natures'!AD76</f>
        <v>2880641.15</v>
      </c>
      <c r="AE37" s="19">
        <f>'4.1 Comptes 2023 natures'!AE76</f>
        <v>4349355.290000001</v>
      </c>
      <c r="AF37" s="19">
        <f>'4.1 Comptes 2023 natures'!AF76</f>
        <v>11582709.359999999</v>
      </c>
      <c r="AG37" s="19">
        <f>'4.1 Comptes 2023 natures'!AG76</f>
        <v>13633060.380000003</v>
      </c>
      <c r="AH37" s="19">
        <f>'4.1 Comptes 2023 natures'!AH76</f>
        <v>1094921.03</v>
      </c>
      <c r="AI37" s="19">
        <f>'4.1 Comptes 2023 natures'!AI76</f>
        <v>701599.10000000009</v>
      </c>
      <c r="AJ37" s="19">
        <f>'4.1 Comptes 2023 natures'!AJ76</f>
        <v>8627823.7899999991</v>
      </c>
      <c r="AK37" s="19">
        <f>'4.1 Comptes 2023 natures'!AK76</f>
        <v>6103839.5599999996</v>
      </c>
      <c r="AL37" s="19">
        <f>'4.1 Comptes 2023 natures'!AL76</f>
        <v>5460977.8900000006</v>
      </c>
      <c r="AM37" s="19">
        <f>'4.1 Comptes 2023 natures'!AM76</f>
        <v>667823.12999999989</v>
      </c>
      <c r="AN37" s="19">
        <f>'4.1 Comptes 2023 natures'!AN76</f>
        <v>10602527.349999996</v>
      </c>
      <c r="AO37" s="19">
        <f>'4.1 Comptes 2023 natures'!AO76</f>
        <v>3541524.79</v>
      </c>
      <c r="AP37" s="19">
        <f>'4.1 Comptes 2023 natures'!AP76</f>
        <v>3077051.37</v>
      </c>
      <c r="AQ37" s="19">
        <f>'4.1 Comptes 2023 natures'!AQ76</f>
        <v>6892903.1800000006</v>
      </c>
      <c r="AR37" s="19">
        <f>'4.1 Comptes 2023 natures'!AR76</f>
        <v>3216761.1700000004</v>
      </c>
      <c r="AS37" s="19">
        <f>'4.1 Comptes 2023 natures'!AS76</f>
        <v>4898137.92</v>
      </c>
      <c r="AT37" s="19">
        <f>'4.1 Comptes 2023 natures'!AT76</f>
        <v>1647193.4</v>
      </c>
      <c r="AU37" s="19">
        <f>'4.1 Comptes 2023 natures'!AU76</f>
        <v>10691140.91</v>
      </c>
      <c r="AV37" s="19">
        <f>'4.1 Comptes 2023 natures'!AV76</f>
        <v>3511456.46</v>
      </c>
      <c r="AW37" s="19">
        <f>'4.1 Comptes 2023 natures'!AW76</f>
        <v>2022721.17</v>
      </c>
      <c r="AX37" s="19">
        <f>'4.1 Comptes 2023 natures'!AX76</f>
        <v>1399248.07</v>
      </c>
      <c r="AY37" s="19">
        <f>'4.1 Comptes 2023 natures'!AY76</f>
        <v>7544019.6200000001</v>
      </c>
      <c r="AZ37" s="19">
        <f>'4.1 Comptes 2023 natures'!AZ76</f>
        <v>1868386.9200000002</v>
      </c>
      <c r="BA37" s="19">
        <f>'4.1 Comptes 2023 natures'!BA76</f>
        <v>5764344.9000000013</v>
      </c>
      <c r="BB37" s="19">
        <f>'4.1 Comptes 2023 natures'!BB76</f>
        <v>42437275.769999996</v>
      </c>
      <c r="BC37" s="19">
        <f>'4.1 Comptes 2023 natures'!BC76</f>
        <v>2649566.2800000003</v>
      </c>
      <c r="BD37" s="19">
        <f>'4.1 Comptes 2023 natures'!BD76</f>
        <v>442897570.28999996</v>
      </c>
      <c r="BE37" s="19">
        <f>'4.1 Comptes 2023 natures'!BE76</f>
        <v>239247465.19999999</v>
      </c>
      <c r="BF37" s="19">
        <f>'4.1 Comptes 2023 natures'!BF76</f>
        <v>71025381.439999998</v>
      </c>
      <c r="BG37" s="19">
        <f>'4.1 Comptes 2023 natures'!BG76</f>
        <v>132624723.65000002</v>
      </c>
    </row>
    <row r="38" spans="1:59" x14ac:dyDescent="0.2">
      <c r="C38" s="8">
        <v>400</v>
      </c>
      <c r="D38" s="8" t="s">
        <v>274</v>
      </c>
      <c r="E38" s="19">
        <f>'4.1 Comptes 2023 natures'!E78</f>
        <v>2486627.65</v>
      </c>
      <c r="F38" s="19">
        <f>'4.1 Comptes 2023 natures'!F78</f>
        <v>545589.65</v>
      </c>
      <c r="G38" s="19">
        <f>'4.1 Comptes 2023 natures'!G78</f>
        <v>836100.5</v>
      </c>
      <c r="H38" s="19">
        <f>'4.1 Comptes 2023 natures'!H78</f>
        <v>902667.22</v>
      </c>
      <c r="I38" s="19">
        <f>'4.1 Comptes 2023 natures'!I78</f>
        <v>7837296.0099999998</v>
      </c>
      <c r="J38" s="19">
        <f>'4.1 Comptes 2023 natures'!J78</f>
        <v>7895666.1200000001</v>
      </c>
      <c r="K38" s="19">
        <f>'4.1 Comptes 2023 natures'!K78</f>
        <v>6471945.9900000002</v>
      </c>
      <c r="L38" s="19">
        <f>'4.1 Comptes 2023 natures'!L78</f>
        <v>30641401.23</v>
      </c>
      <c r="M38" s="19">
        <f>'4.1 Comptes 2023 natures'!M78</f>
        <v>3258211.33</v>
      </c>
      <c r="N38" s="19">
        <f>'4.1 Comptes 2023 natures'!N78</f>
        <v>239784.65</v>
      </c>
      <c r="O38" s="19">
        <f>'4.1 Comptes 2023 natures'!O78</f>
        <v>16610306.949999999</v>
      </c>
      <c r="P38" s="19">
        <f>'4.1 Comptes 2023 natures'!P78</f>
        <v>1090512.3799999999</v>
      </c>
      <c r="Q38" s="19">
        <f>'4.1 Comptes 2023 natures'!Q78</f>
        <v>216393.85</v>
      </c>
      <c r="R38" s="19">
        <f>'4.1 Comptes 2023 natures'!R78</f>
        <v>832417.12</v>
      </c>
      <c r="S38" s="19">
        <f>'4.1 Comptes 2023 natures'!S78</f>
        <v>688469.69</v>
      </c>
      <c r="T38" s="19">
        <f>'4.1 Comptes 2023 natures'!T78</f>
        <v>1918886.36</v>
      </c>
      <c r="U38" s="19">
        <f>'4.1 Comptes 2023 natures'!U78</f>
        <v>485425.25</v>
      </c>
      <c r="V38" s="19">
        <f>'4.1 Comptes 2023 natures'!V78</f>
        <v>979685.59</v>
      </c>
      <c r="W38" s="19">
        <f>'4.1 Comptes 2023 natures'!W78</f>
        <v>7034524.54</v>
      </c>
      <c r="X38" s="19">
        <f>'4.1 Comptes 2023 natures'!X78</f>
        <v>871239.75</v>
      </c>
      <c r="Y38" s="19">
        <f>'4.1 Comptes 2023 natures'!Y78</f>
        <v>4309636.0999999996</v>
      </c>
      <c r="Z38" s="19">
        <f>'4.1 Comptes 2023 natures'!Z78</f>
        <v>3258859.68</v>
      </c>
      <c r="AA38" s="19">
        <f>'4.1 Comptes 2023 natures'!AA78</f>
        <v>275555.71000000002</v>
      </c>
      <c r="AB38" s="19">
        <f>'4.1 Comptes 2023 natures'!AB78</f>
        <v>1222925.81</v>
      </c>
      <c r="AC38" s="19">
        <f>'4.1 Comptes 2023 natures'!AC78</f>
        <v>1947245.34</v>
      </c>
      <c r="AD38" s="19">
        <f>'4.1 Comptes 2023 natures'!AD78</f>
        <v>1337380.6599999999</v>
      </c>
      <c r="AE38" s="19">
        <f>'4.1 Comptes 2023 natures'!AE78</f>
        <v>1557051.34</v>
      </c>
      <c r="AF38" s="19">
        <f>'4.1 Comptes 2023 natures'!AF78</f>
        <v>4782382.62</v>
      </c>
      <c r="AG38" s="19">
        <f>'4.1 Comptes 2023 natures'!AG78</f>
        <v>6594451.0800000001</v>
      </c>
      <c r="AH38" s="19">
        <f>'4.1 Comptes 2023 natures'!AH78</f>
        <v>415278.1</v>
      </c>
      <c r="AI38" s="19">
        <f>'4.1 Comptes 2023 natures'!AI78</f>
        <v>252711.16</v>
      </c>
      <c r="AJ38" s="19">
        <f>'4.1 Comptes 2023 natures'!AJ78</f>
        <v>5075458.63</v>
      </c>
      <c r="AK38" s="19">
        <f>'4.1 Comptes 2023 natures'!AK78</f>
        <v>2230199.11</v>
      </c>
      <c r="AL38" s="19">
        <f>'4.1 Comptes 2023 natures'!AL78</f>
        <v>2529283.1</v>
      </c>
      <c r="AM38" s="19">
        <f>'4.1 Comptes 2023 natures'!AM78</f>
        <v>326220.40000000002</v>
      </c>
      <c r="AN38" s="19">
        <f>'4.1 Comptes 2023 natures'!AN78</f>
        <v>4263031.2</v>
      </c>
      <c r="AO38" s="19">
        <f>'4.1 Comptes 2023 natures'!AO78</f>
        <v>1562823.9</v>
      </c>
      <c r="AP38" s="19">
        <f>'4.1 Comptes 2023 natures'!AP78</f>
        <v>1856244.45</v>
      </c>
      <c r="AQ38" s="19">
        <f>'4.1 Comptes 2023 natures'!AQ78</f>
        <v>2398664.9</v>
      </c>
      <c r="AR38" s="19">
        <f>'4.1 Comptes 2023 natures'!AR78</f>
        <v>1677604.1</v>
      </c>
      <c r="AS38" s="19">
        <f>'4.1 Comptes 2023 natures'!AS78</f>
        <v>2439407.38</v>
      </c>
      <c r="AT38" s="19">
        <f>'4.1 Comptes 2023 natures'!AT78</f>
        <v>742226.45</v>
      </c>
      <c r="AU38" s="19">
        <f>'4.1 Comptes 2023 natures'!AU78</f>
        <v>5295929</v>
      </c>
      <c r="AV38" s="19">
        <f>'4.1 Comptes 2023 natures'!AV78</f>
        <v>2144191.9900000002</v>
      </c>
      <c r="AW38" s="19">
        <f>'4.1 Comptes 2023 natures'!AW78</f>
        <v>626503.13</v>
      </c>
      <c r="AX38" s="19">
        <f>'4.1 Comptes 2023 natures'!AX78</f>
        <v>773798.40000000002</v>
      </c>
      <c r="AY38" s="19">
        <f>'4.1 Comptes 2023 natures'!AY78</f>
        <v>4511508.01</v>
      </c>
      <c r="AZ38" s="19">
        <f>'4.1 Comptes 2023 natures'!AZ78</f>
        <v>718141.5</v>
      </c>
      <c r="BA38" s="19">
        <f>'4.1 Comptes 2023 natures'!BA78</f>
        <v>2938241.1</v>
      </c>
      <c r="BB38" s="19">
        <f>'4.1 Comptes 2023 natures'!BB78</f>
        <v>18389291.760000002</v>
      </c>
      <c r="BC38" s="19">
        <f>'4.1 Comptes 2023 natures'!BC78</f>
        <v>1379216.69</v>
      </c>
      <c r="BD38" s="19">
        <f>'4.1 Comptes 2023 natures'!BD78</f>
        <v>179674614.62999997</v>
      </c>
      <c r="BE38" s="19">
        <f>'4.1 Comptes 2023 natures'!BE78</f>
        <v>90971912.079999998</v>
      </c>
      <c r="BF38" s="19">
        <f>'4.1 Comptes 2023 natures'!BF78</f>
        <v>26824717.350000005</v>
      </c>
      <c r="BG38" s="19">
        <f>'4.1 Comptes 2023 natures'!BG78</f>
        <v>61877985.200000003</v>
      </c>
    </row>
    <row r="39" spans="1:59" x14ac:dyDescent="0.2">
      <c r="C39" s="8">
        <v>401</v>
      </c>
      <c r="D39" s="8" t="s">
        <v>276</v>
      </c>
      <c r="E39" s="19">
        <f>'4.1 Comptes 2023 natures'!E79</f>
        <v>167849.81</v>
      </c>
      <c r="F39" s="19">
        <f>'4.1 Comptes 2023 natures'!F79</f>
        <v>31072.85</v>
      </c>
      <c r="G39" s="19">
        <f>'4.1 Comptes 2023 natures'!G79</f>
        <v>-23744.65</v>
      </c>
      <c r="H39" s="19">
        <f>'4.1 Comptes 2023 natures'!H79</f>
        <v>27430.2</v>
      </c>
      <c r="I39" s="19">
        <f>'4.1 Comptes 2023 natures'!I79</f>
        <v>250202.95</v>
      </c>
      <c r="J39" s="19">
        <f>'4.1 Comptes 2023 natures'!J79</f>
        <v>1118275.8500000001</v>
      </c>
      <c r="K39" s="19">
        <f>'4.1 Comptes 2023 natures'!K79</f>
        <v>1223349.05</v>
      </c>
      <c r="L39" s="19">
        <f>'4.1 Comptes 2023 natures'!L79</f>
        <v>5362165.45</v>
      </c>
      <c r="M39" s="19">
        <f>'4.1 Comptes 2023 natures'!M79</f>
        <v>401506.1</v>
      </c>
      <c r="N39" s="19">
        <f>'4.1 Comptes 2023 natures'!N79</f>
        <v>9754.25</v>
      </c>
      <c r="O39" s="19">
        <f>'4.1 Comptes 2023 natures'!O79</f>
        <v>223480.36</v>
      </c>
      <c r="P39" s="19">
        <f>'4.1 Comptes 2023 natures'!P79</f>
        <v>29291.65</v>
      </c>
      <c r="Q39" s="19">
        <f>'4.1 Comptes 2023 natures'!Q79</f>
        <v>518.85</v>
      </c>
      <c r="R39" s="19">
        <f>'4.1 Comptes 2023 natures'!R79</f>
        <v>34443.65</v>
      </c>
      <c r="S39" s="19">
        <f>'4.1 Comptes 2023 natures'!S79</f>
        <v>19888.150000000001</v>
      </c>
      <c r="T39" s="19">
        <f>'4.1 Comptes 2023 natures'!T79</f>
        <v>56848.25</v>
      </c>
      <c r="U39" s="19">
        <f>'4.1 Comptes 2023 natures'!U79</f>
        <v>48338.05</v>
      </c>
      <c r="V39" s="19">
        <f>'4.1 Comptes 2023 natures'!V79</f>
        <v>331629.2</v>
      </c>
      <c r="W39" s="19">
        <f>'4.1 Comptes 2023 natures'!W79</f>
        <v>434677.3</v>
      </c>
      <c r="X39" s="19">
        <f>'4.1 Comptes 2023 natures'!X79</f>
        <v>12187.15</v>
      </c>
      <c r="Y39" s="19">
        <f>'4.1 Comptes 2023 natures'!Y79</f>
        <v>157817.20000000001</v>
      </c>
      <c r="Z39" s="19">
        <f>'4.1 Comptes 2023 natures'!Z79</f>
        <v>9968346.9499999993</v>
      </c>
      <c r="AA39" s="19">
        <f>'4.1 Comptes 2023 natures'!AA79</f>
        <v>7009.7</v>
      </c>
      <c r="AB39" s="19">
        <f>'4.1 Comptes 2023 natures'!AB79</f>
        <v>-69582.3</v>
      </c>
      <c r="AC39" s="19">
        <f>'4.1 Comptes 2023 natures'!AC79</f>
        <v>56189.5</v>
      </c>
      <c r="AD39" s="19">
        <f>'4.1 Comptes 2023 natures'!AD79</f>
        <v>32701.65</v>
      </c>
      <c r="AE39" s="19">
        <f>'4.1 Comptes 2023 natures'!AE79</f>
        <v>48755.7</v>
      </c>
      <c r="AF39" s="19">
        <f>'4.1 Comptes 2023 natures'!AF79</f>
        <v>2349885.1</v>
      </c>
      <c r="AG39" s="19">
        <f>'4.1 Comptes 2023 natures'!AG79</f>
        <v>822202.45</v>
      </c>
      <c r="AH39" s="19">
        <f>'4.1 Comptes 2023 natures'!AH79</f>
        <v>25498.5</v>
      </c>
      <c r="AI39" s="19">
        <f>'4.1 Comptes 2023 natures'!AI79</f>
        <v>9041.4</v>
      </c>
      <c r="AJ39" s="19">
        <f>'4.1 Comptes 2023 natures'!AJ79</f>
        <v>195853.65</v>
      </c>
      <c r="AK39" s="19">
        <f>'4.1 Comptes 2023 natures'!AK79</f>
        <v>82880.070000000007</v>
      </c>
      <c r="AL39" s="19">
        <f>'4.1 Comptes 2023 natures'!AL79</f>
        <v>135929.1</v>
      </c>
      <c r="AM39" s="19">
        <f>'4.1 Comptes 2023 natures'!AM79</f>
        <v>7462.75</v>
      </c>
      <c r="AN39" s="19">
        <f>'4.1 Comptes 2023 natures'!AN79</f>
        <v>3999805.3</v>
      </c>
      <c r="AO39" s="19">
        <f>'4.1 Comptes 2023 natures'!AO79</f>
        <v>-442724.65</v>
      </c>
      <c r="AP39" s="19">
        <f>'4.1 Comptes 2023 natures'!AP79</f>
        <v>113951.45</v>
      </c>
      <c r="AQ39" s="19">
        <f>'4.1 Comptes 2023 natures'!AQ79</f>
        <v>166659.54999999999</v>
      </c>
      <c r="AR39" s="19">
        <f>'4.1 Comptes 2023 natures'!AR79</f>
        <v>31264.74</v>
      </c>
      <c r="AS39" s="19">
        <f>'4.1 Comptes 2023 natures'!AS79</f>
        <v>139296.12</v>
      </c>
      <c r="AT39" s="19">
        <f>'4.1 Comptes 2023 natures'!AT79</f>
        <v>214680.15</v>
      </c>
      <c r="AU39" s="19">
        <f>'4.1 Comptes 2023 natures'!AU79</f>
        <v>775572.5</v>
      </c>
      <c r="AV39" s="19">
        <f>'4.1 Comptes 2023 natures'!AV79</f>
        <v>154295.54999999999</v>
      </c>
      <c r="AW39" s="19">
        <f>'4.1 Comptes 2023 natures'!AW79</f>
        <v>67572.25</v>
      </c>
      <c r="AX39" s="19">
        <f>'4.1 Comptes 2023 natures'!AX79</f>
        <v>13792.11</v>
      </c>
      <c r="AY39" s="19">
        <f>'4.1 Comptes 2023 natures'!AY79</f>
        <v>224872</v>
      </c>
      <c r="AZ39" s="19">
        <f>'4.1 Comptes 2023 natures'!AZ79</f>
        <v>17289.400000000001</v>
      </c>
      <c r="BA39" s="19">
        <f>'4.1 Comptes 2023 natures'!BA79</f>
        <v>32526.35</v>
      </c>
      <c r="BB39" s="19">
        <f>'4.1 Comptes 2023 natures'!BB79</f>
        <v>3144327.65</v>
      </c>
      <c r="BC39" s="19">
        <f>'4.1 Comptes 2023 natures'!BC79</f>
        <v>69600.72</v>
      </c>
      <c r="BD39" s="19">
        <f>'4.1 Comptes 2023 natures'!BD79</f>
        <v>32311937.079999994</v>
      </c>
      <c r="BE39" s="19">
        <f>'4.1 Comptes 2023 natures'!BE79</f>
        <v>9746977.3200000022</v>
      </c>
      <c r="BF39" s="19">
        <f>'4.1 Comptes 2023 natures'!BF79</f>
        <v>13420052.999999996</v>
      </c>
      <c r="BG39" s="19">
        <f>'4.1 Comptes 2023 natures'!BG79</f>
        <v>9144906.7600000016</v>
      </c>
    </row>
    <row r="40" spans="1:59" x14ac:dyDescent="0.2">
      <c r="C40" s="8">
        <v>402</v>
      </c>
      <c r="D40" s="8" t="s">
        <v>136</v>
      </c>
      <c r="E40" s="19">
        <f>'4.1 Comptes 2023 natures'!E80</f>
        <v>212821.75</v>
      </c>
      <c r="F40" s="19">
        <f>'4.1 Comptes 2023 natures'!F80</f>
        <v>141998.04999999999</v>
      </c>
      <c r="G40" s="19">
        <f>'4.1 Comptes 2023 natures'!G80</f>
        <v>108936.6</v>
      </c>
      <c r="H40" s="19">
        <f>'4.1 Comptes 2023 natures'!H80</f>
        <v>161599.9</v>
      </c>
      <c r="I40" s="19">
        <f>'4.1 Comptes 2023 natures'!I80</f>
        <v>1549409.5</v>
      </c>
      <c r="J40" s="19">
        <f>'4.1 Comptes 2023 natures'!J80</f>
        <v>1006708.79</v>
      </c>
      <c r="K40" s="19">
        <f>'4.1 Comptes 2023 natures'!K80</f>
        <v>701452.45</v>
      </c>
      <c r="L40" s="19">
        <f>'4.1 Comptes 2023 natures'!L80</f>
        <v>4720047.37</v>
      </c>
      <c r="M40" s="19">
        <f>'4.1 Comptes 2023 natures'!M80</f>
        <v>449218.85</v>
      </c>
      <c r="N40" s="19">
        <f>'4.1 Comptes 2023 natures'!N80</f>
        <v>16956.599999999999</v>
      </c>
      <c r="O40" s="19">
        <f>'4.1 Comptes 2023 natures'!O80</f>
        <v>2180909.12</v>
      </c>
      <c r="P40" s="19">
        <f>'4.1 Comptes 2023 natures'!P80</f>
        <v>268368.81</v>
      </c>
      <c r="Q40" s="19">
        <f>'4.1 Comptes 2023 natures'!Q80</f>
        <v>30917.599999999999</v>
      </c>
      <c r="R40" s="19">
        <f>'4.1 Comptes 2023 natures'!R80</f>
        <v>184325.16</v>
      </c>
      <c r="S40" s="19">
        <f>'4.1 Comptes 2023 natures'!S80</f>
        <v>100970.65</v>
      </c>
      <c r="T40" s="19">
        <f>'4.1 Comptes 2023 natures'!T80</f>
        <v>222232.88</v>
      </c>
      <c r="U40" s="19">
        <f>'4.1 Comptes 2023 natures'!U80</f>
        <v>64867.35</v>
      </c>
      <c r="V40" s="19">
        <f>'4.1 Comptes 2023 natures'!V80</f>
        <v>136874.45000000001</v>
      </c>
      <c r="W40" s="19">
        <f>'4.1 Comptes 2023 natures'!W80</f>
        <v>1388611.85</v>
      </c>
      <c r="X40" s="19">
        <f>'4.1 Comptes 2023 natures'!X80</f>
        <v>99902.15</v>
      </c>
      <c r="Y40" s="19">
        <f>'4.1 Comptes 2023 natures'!Y80</f>
        <v>602057.55000000005</v>
      </c>
      <c r="Z40" s="19">
        <f>'4.1 Comptes 2023 natures'!Z80</f>
        <v>514281.85</v>
      </c>
      <c r="AA40" s="19">
        <f>'4.1 Comptes 2023 natures'!AA80</f>
        <v>61834.15</v>
      </c>
      <c r="AB40" s="19">
        <f>'4.1 Comptes 2023 natures'!AB80</f>
        <v>156373.95000000001</v>
      </c>
      <c r="AC40" s="19">
        <f>'4.1 Comptes 2023 natures'!AC80</f>
        <v>314249.84999999998</v>
      </c>
      <c r="AD40" s="19">
        <f>'4.1 Comptes 2023 natures'!AD80</f>
        <v>267608.3</v>
      </c>
      <c r="AE40" s="19">
        <f>'4.1 Comptes 2023 natures'!AE80</f>
        <v>251673.1</v>
      </c>
      <c r="AF40" s="19">
        <f>'4.1 Comptes 2023 natures'!AF80</f>
        <v>623413.69999999995</v>
      </c>
      <c r="AG40" s="19">
        <f>'4.1 Comptes 2023 natures'!AG80</f>
        <v>975123.59</v>
      </c>
      <c r="AH40" s="19">
        <f>'4.1 Comptes 2023 natures'!AH80</f>
        <v>45023.97</v>
      </c>
      <c r="AI40" s="19">
        <f>'4.1 Comptes 2023 natures'!AI80</f>
        <v>123896.05</v>
      </c>
      <c r="AJ40" s="19">
        <f>'4.1 Comptes 2023 natures'!AJ80</f>
        <v>785511.14</v>
      </c>
      <c r="AK40" s="19">
        <f>'4.1 Comptes 2023 natures'!AK80</f>
        <v>382204.22</v>
      </c>
      <c r="AL40" s="19">
        <f>'4.1 Comptes 2023 natures'!AL80</f>
        <v>406947.64</v>
      </c>
      <c r="AM40" s="19">
        <f>'4.1 Comptes 2023 natures'!AM80</f>
        <v>50117.9</v>
      </c>
      <c r="AN40" s="19">
        <f>'4.1 Comptes 2023 natures'!AN80</f>
        <v>432908.07</v>
      </c>
      <c r="AO40" s="19">
        <f>'4.1 Comptes 2023 natures'!AO80</f>
        <v>202688.55</v>
      </c>
      <c r="AP40" s="19">
        <f>'4.1 Comptes 2023 natures'!AP80</f>
        <v>250163.55</v>
      </c>
      <c r="AQ40" s="19">
        <f>'4.1 Comptes 2023 natures'!AQ80</f>
        <v>551249.09</v>
      </c>
      <c r="AR40" s="19">
        <f>'4.1 Comptes 2023 natures'!AR80</f>
        <v>291603.05</v>
      </c>
      <c r="AS40" s="19">
        <f>'4.1 Comptes 2023 natures'!AS80</f>
        <v>333108.90000000002</v>
      </c>
      <c r="AT40" s="19">
        <f>'4.1 Comptes 2023 natures'!AT80</f>
        <v>78513</v>
      </c>
      <c r="AU40" s="19">
        <f>'4.1 Comptes 2023 natures'!AU80</f>
        <v>832553.45</v>
      </c>
      <c r="AV40" s="19">
        <f>'4.1 Comptes 2023 natures'!AV80</f>
        <v>327653.45</v>
      </c>
      <c r="AW40" s="19">
        <f>'4.1 Comptes 2023 natures'!AW80</f>
        <v>196766.55</v>
      </c>
      <c r="AX40" s="19">
        <f>'4.1 Comptes 2023 natures'!AX80</f>
        <v>131198.67000000001</v>
      </c>
      <c r="AY40" s="19">
        <f>'4.1 Comptes 2023 natures'!AY80</f>
        <v>678284.1</v>
      </c>
      <c r="AZ40" s="19">
        <f>'4.1 Comptes 2023 natures'!AZ80</f>
        <v>161392.5</v>
      </c>
      <c r="BA40" s="19">
        <f>'4.1 Comptes 2023 natures'!BA80</f>
        <v>426000.79</v>
      </c>
      <c r="BB40" s="19">
        <f>'4.1 Comptes 2023 natures'!BB80</f>
        <v>2455228.15</v>
      </c>
      <c r="BC40" s="19">
        <f>'4.1 Comptes 2023 natures'!BC80</f>
        <v>190317.55</v>
      </c>
      <c r="BD40" s="19">
        <f>'4.1 Comptes 2023 natures'!BD80</f>
        <v>26847076.260000002</v>
      </c>
      <c r="BE40" s="19">
        <f>'4.1 Comptes 2023 natures'!BE80</f>
        <v>13647227.73</v>
      </c>
      <c r="BF40" s="19">
        <f>'4.1 Comptes 2023 natures'!BF80</f>
        <v>4035438.2099999995</v>
      </c>
      <c r="BG40" s="19">
        <f>'4.1 Comptes 2023 natures'!BG80</f>
        <v>9164410.3200000003</v>
      </c>
    </row>
    <row r="41" spans="1:59" x14ac:dyDescent="0.2">
      <c r="C41" s="8">
        <v>440</v>
      </c>
      <c r="D41" s="8" t="s">
        <v>277</v>
      </c>
      <c r="E41" s="19">
        <f>'4.1 Comptes 2023 natures'!E107</f>
        <v>41590.01</v>
      </c>
      <c r="F41" s="19">
        <f>'4.1 Comptes 2023 natures'!F107</f>
        <v>5897.59</v>
      </c>
      <c r="G41" s="19">
        <f>'4.1 Comptes 2023 natures'!G107</f>
        <v>16077.69</v>
      </c>
      <c r="H41" s="19">
        <f>'4.1 Comptes 2023 natures'!H107</f>
        <v>7211.04</v>
      </c>
      <c r="I41" s="19">
        <f>'4.1 Comptes 2023 natures'!I107</f>
        <v>118201.59</v>
      </c>
      <c r="J41" s="19">
        <f>'4.1 Comptes 2023 natures'!J107</f>
        <v>94570.16</v>
      </c>
      <c r="K41" s="19">
        <f>'4.1 Comptes 2023 natures'!K107</f>
        <v>61629.97</v>
      </c>
      <c r="L41" s="19">
        <f>'4.1 Comptes 2023 natures'!L107</f>
        <v>1060688.7</v>
      </c>
      <c r="M41" s="19">
        <f>'4.1 Comptes 2023 natures'!M107</f>
        <v>41934.67</v>
      </c>
      <c r="N41" s="19">
        <f>'4.1 Comptes 2023 natures'!N107</f>
        <v>1151.8900000000001</v>
      </c>
      <c r="O41" s="19">
        <f>'4.1 Comptes 2023 natures'!O107</f>
        <v>187957.74</v>
      </c>
      <c r="P41" s="19">
        <f>'4.1 Comptes 2023 natures'!P107</f>
        <v>8150.67</v>
      </c>
      <c r="Q41" s="19">
        <f>'4.1 Comptes 2023 natures'!Q107</f>
        <v>2227.9899999999998</v>
      </c>
      <c r="R41" s="19">
        <f>'4.1 Comptes 2023 natures'!R107</f>
        <v>13921.52</v>
      </c>
      <c r="S41" s="19">
        <f>'4.1 Comptes 2023 natures'!S107</f>
        <v>9163.36</v>
      </c>
      <c r="T41" s="19">
        <f>'4.1 Comptes 2023 natures'!T107</f>
        <v>30783.5</v>
      </c>
      <c r="U41" s="19">
        <f>'4.1 Comptes 2023 natures'!U107</f>
        <v>6146.02</v>
      </c>
      <c r="V41" s="19">
        <f>'4.1 Comptes 2023 natures'!V107</f>
        <v>17282.080000000002</v>
      </c>
      <c r="W41" s="19">
        <f>'4.1 Comptes 2023 natures'!W107</f>
        <v>88393.21</v>
      </c>
      <c r="X41" s="19">
        <f>'4.1 Comptes 2023 natures'!X107</f>
        <v>9968.2099999999991</v>
      </c>
      <c r="Y41" s="19">
        <f>'4.1 Comptes 2023 natures'!Y107</f>
        <v>61988.41</v>
      </c>
      <c r="Z41" s="19">
        <f>'4.1 Comptes 2023 natures'!Z107</f>
        <v>163256.82</v>
      </c>
      <c r="AA41" s="19">
        <f>'4.1 Comptes 2023 natures'!AA107</f>
        <v>4939.1000000000004</v>
      </c>
      <c r="AB41" s="19">
        <f>'4.1 Comptes 2023 natures'!AB107</f>
        <v>17859.07</v>
      </c>
      <c r="AC41" s="19">
        <f>'4.1 Comptes 2023 natures'!AC107</f>
        <v>12477.43</v>
      </c>
      <c r="AD41" s="19">
        <f>'4.1 Comptes 2023 natures'!AD107</f>
        <v>20898.86</v>
      </c>
      <c r="AE41" s="19">
        <f>'4.1 Comptes 2023 natures'!AE107</f>
        <v>12743.48</v>
      </c>
      <c r="AF41" s="19">
        <f>'4.1 Comptes 2023 natures'!AF107</f>
        <v>53241.17</v>
      </c>
      <c r="AG41" s="19">
        <f>'4.1 Comptes 2023 natures'!AG107</f>
        <v>93461.4</v>
      </c>
      <c r="AH41" s="19">
        <f>'4.1 Comptes 2023 natures'!AH107</f>
        <v>12970.67</v>
      </c>
      <c r="AI41" s="19">
        <f>'4.1 Comptes 2023 natures'!AI107</f>
        <v>2819.68</v>
      </c>
      <c r="AJ41" s="19">
        <f>'4.1 Comptes 2023 natures'!AJ107</f>
        <v>84068.94</v>
      </c>
      <c r="AK41" s="19">
        <f>'4.1 Comptes 2023 natures'!AK107</f>
        <v>120458.13</v>
      </c>
      <c r="AL41" s="19">
        <f>'4.1 Comptes 2023 natures'!AL107</f>
        <v>48407.38</v>
      </c>
      <c r="AM41" s="19">
        <f>'4.1 Comptes 2023 natures'!AM107</f>
        <v>8035.44</v>
      </c>
      <c r="AN41" s="19">
        <f>'4.1 Comptes 2023 natures'!AN107</f>
        <v>53601.1</v>
      </c>
      <c r="AO41" s="19">
        <f>'4.1 Comptes 2023 natures'!AO107</f>
        <v>44757.07</v>
      </c>
      <c r="AP41" s="19">
        <f>'4.1 Comptes 2023 natures'!AP107</f>
        <v>29251.75</v>
      </c>
      <c r="AQ41" s="19">
        <f>'4.1 Comptes 2023 natures'!AQ107</f>
        <v>36630.949999999997</v>
      </c>
      <c r="AR41" s="19">
        <f>'4.1 Comptes 2023 natures'!AR107</f>
        <v>37519.21</v>
      </c>
      <c r="AS41" s="19">
        <f>'4.1 Comptes 2023 natures'!AS107</f>
        <v>54043.43</v>
      </c>
      <c r="AT41" s="19">
        <f>'4.1 Comptes 2023 natures'!AT107</f>
        <v>9061.76</v>
      </c>
      <c r="AU41" s="19">
        <f>'4.1 Comptes 2023 natures'!AU107</f>
        <v>93439.88</v>
      </c>
      <c r="AV41" s="19">
        <f>'4.1 Comptes 2023 natures'!AV107</f>
        <v>20608.8</v>
      </c>
      <c r="AW41" s="19">
        <f>'4.1 Comptes 2023 natures'!AW107</f>
        <v>15776.19</v>
      </c>
      <c r="AX41" s="19">
        <f>'4.1 Comptes 2023 natures'!AX107</f>
        <v>12253.09</v>
      </c>
      <c r="AY41" s="19">
        <f>'4.1 Comptes 2023 natures'!AY107</f>
        <v>76069.14</v>
      </c>
      <c r="AZ41" s="19">
        <f>'4.1 Comptes 2023 natures'!AZ107</f>
        <v>25432.080000000002</v>
      </c>
      <c r="BA41" s="19">
        <f>'4.1 Comptes 2023 natures'!BA107</f>
        <v>54826.23</v>
      </c>
      <c r="BB41" s="19">
        <f>'4.1 Comptes 2023 natures'!BB107</f>
        <v>443493.63</v>
      </c>
      <c r="BC41" s="19">
        <f>'4.1 Comptes 2023 natures'!BC107</f>
        <v>68384.05</v>
      </c>
      <c r="BD41" s="19">
        <f>'4.1 Comptes 2023 natures'!BD107</f>
        <v>3615721.9499999988</v>
      </c>
      <c r="BE41" s="19">
        <f>'4.1 Comptes 2023 natures'!BE107</f>
        <v>1812979.4</v>
      </c>
      <c r="BF41" s="19">
        <f>'4.1 Comptes 2023 natures'!BF107</f>
        <v>466624.29999999993</v>
      </c>
      <c r="BG41" s="19">
        <f>'4.1 Comptes 2023 natures'!BG107</f>
        <v>1336118.25</v>
      </c>
    </row>
    <row r="42" spans="1:59" x14ac:dyDescent="0.2">
      <c r="C42" s="8">
        <v>441</v>
      </c>
      <c r="D42" s="8" t="s">
        <v>279</v>
      </c>
      <c r="E42" s="19">
        <f>'4.1 Comptes 2023 natures'!E108</f>
        <v>0</v>
      </c>
      <c r="F42" s="19">
        <f>'4.1 Comptes 2023 natures'!F108</f>
        <v>0</v>
      </c>
      <c r="G42" s="19">
        <f>'4.1 Comptes 2023 natures'!G108</f>
        <v>0</v>
      </c>
      <c r="H42" s="19">
        <f>'4.1 Comptes 2023 natures'!H108</f>
        <v>0</v>
      </c>
      <c r="I42" s="19">
        <f>'4.1 Comptes 2023 natures'!I108</f>
        <v>0</v>
      </c>
      <c r="J42" s="19">
        <f>'4.1 Comptes 2023 natures'!J108</f>
        <v>0</v>
      </c>
      <c r="K42" s="19">
        <f>'4.1 Comptes 2023 natures'!K108</f>
        <v>0</v>
      </c>
      <c r="L42" s="19">
        <f>'4.1 Comptes 2023 natures'!L108</f>
        <v>0</v>
      </c>
      <c r="M42" s="19">
        <f>'4.1 Comptes 2023 natures'!M108</f>
        <v>0</v>
      </c>
      <c r="N42" s="19">
        <f>'4.1 Comptes 2023 natures'!N108</f>
        <v>0</v>
      </c>
      <c r="O42" s="19">
        <f>'4.1 Comptes 2023 natures'!O108</f>
        <v>282677.28000000003</v>
      </c>
      <c r="P42" s="19">
        <f>'4.1 Comptes 2023 natures'!P108</f>
        <v>0</v>
      </c>
      <c r="Q42" s="19">
        <f>'4.1 Comptes 2023 natures'!Q108</f>
        <v>0</v>
      </c>
      <c r="R42" s="19">
        <f>'4.1 Comptes 2023 natures'!R108</f>
        <v>0</v>
      </c>
      <c r="S42" s="19">
        <f>'4.1 Comptes 2023 natures'!S108</f>
        <v>0</v>
      </c>
      <c r="T42" s="19">
        <f>'4.1 Comptes 2023 natures'!T108</f>
        <v>0</v>
      </c>
      <c r="U42" s="19">
        <f>'4.1 Comptes 2023 natures'!U108</f>
        <v>0</v>
      </c>
      <c r="V42" s="19">
        <f>'4.1 Comptes 2023 natures'!V108</f>
        <v>0</v>
      </c>
      <c r="W42" s="19">
        <f>'4.1 Comptes 2023 natures'!W108</f>
        <v>32634.63</v>
      </c>
      <c r="X42" s="19">
        <f>'4.1 Comptes 2023 natures'!X108</f>
        <v>0</v>
      </c>
      <c r="Y42" s="19">
        <f>'4.1 Comptes 2023 natures'!Y108</f>
        <v>0</v>
      </c>
      <c r="Z42" s="19">
        <f>'4.1 Comptes 2023 natures'!Z108</f>
        <v>0</v>
      </c>
      <c r="AA42" s="19">
        <f>'4.1 Comptes 2023 natures'!AA108</f>
        <v>0</v>
      </c>
      <c r="AB42" s="19">
        <f>'4.1 Comptes 2023 natures'!AB108</f>
        <v>0</v>
      </c>
      <c r="AC42" s="19">
        <f>'4.1 Comptes 2023 natures'!AC108</f>
        <v>24223</v>
      </c>
      <c r="AD42" s="19">
        <f>'4.1 Comptes 2023 natures'!AD108</f>
        <v>0</v>
      </c>
      <c r="AE42" s="19">
        <f>'4.1 Comptes 2023 natures'!AE108</f>
        <v>340550</v>
      </c>
      <c r="AF42" s="19">
        <f>'4.1 Comptes 2023 natures'!AF108</f>
        <v>0</v>
      </c>
      <c r="AG42" s="19">
        <f>'4.1 Comptes 2023 natures'!AG108</f>
        <v>1382.5</v>
      </c>
      <c r="AH42" s="19">
        <f>'4.1 Comptes 2023 natures'!AH108</f>
        <v>0</v>
      </c>
      <c r="AI42" s="19">
        <f>'4.1 Comptes 2023 natures'!AI108</f>
        <v>3521</v>
      </c>
      <c r="AJ42" s="19">
        <f>'4.1 Comptes 2023 natures'!AJ108</f>
        <v>0</v>
      </c>
      <c r="AK42" s="19">
        <f>'4.1 Comptes 2023 natures'!AK108</f>
        <v>0</v>
      </c>
      <c r="AL42" s="19">
        <f>'4.1 Comptes 2023 natures'!AL108</f>
        <v>0</v>
      </c>
      <c r="AM42" s="19">
        <f>'4.1 Comptes 2023 natures'!AM108</f>
        <v>0</v>
      </c>
      <c r="AN42" s="19">
        <f>'4.1 Comptes 2023 natures'!AN108</f>
        <v>790</v>
      </c>
      <c r="AO42" s="19">
        <f>'4.1 Comptes 2023 natures'!AO108</f>
        <v>0</v>
      </c>
      <c r="AP42" s="19">
        <f>'4.1 Comptes 2023 natures'!AP108</f>
        <v>0</v>
      </c>
      <c r="AQ42" s="19">
        <f>'4.1 Comptes 2023 natures'!AQ108</f>
        <v>2840</v>
      </c>
      <c r="AR42" s="19">
        <f>'4.1 Comptes 2023 natures'!AR108</f>
        <v>0</v>
      </c>
      <c r="AS42" s="19">
        <f>'4.1 Comptes 2023 natures'!AS108</f>
        <v>0</v>
      </c>
      <c r="AT42" s="19">
        <f>'4.1 Comptes 2023 natures'!AT108</f>
        <v>0</v>
      </c>
      <c r="AU42" s="19">
        <f>'4.1 Comptes 2023 natures'!AU108</f>
        <v>0</v>
      </c>
      <c r="AV42" s="19">
        <f>'4.1 Comptes 2023 natures'!AV108</f>
        <v>0</v>
      </c>
      <c r="AW42" s="19">
        <f>'4.1 Comptes 2023 natures'!AW108</f>
        <v>0</v>
      </c>
      <c r="AX42" s="19">
        <f>'4.1 Comptes 2023 natures'!AX108</f>
        <v>0</v>
      </c>
      <c r="AY42" s="19">
        <f>'4.1 Comptes 2023 natures'!AY108</f>
        <v>0</v>
      </c>
      <c r="AZ42" s="19">
        <f>'4.1 Comptes 2023 natures'!AZ108</f>
        <v>0</v>
      </c>
      <c r="BA42" s="19">
        <f>'4.1 Comptes 2023 natures'!BA108</f>
        <v>0</v>
      </c>
      <c r="BB42" s="19">
        <f>'4.1 Comptes 2023 natures'!BB108</f>
        <v>0</v>
      </c>
      <c r="BC42" s="19">
        <f>'4.1 Comptes 2023 natures'!BC108</f>
        <v>0</v>
      </c>
      <c r="BD42" s="19">
        <f>'4.1 Comptes 2023 natures'!BD108</f>
        <v>688618.41</v>
      </c>
      <c r="BE42" s="19">
        <f>'4.1 Comptes 2023 natures'!BE108</f>
        <v>315311.91000000003</v>
      </c>
      <c r="BF42" s="19">
        <f>'4.1 Comptes 2023 natures'!BF108</f>
        <v>369676.5</v>
      </c>
      <c r="BG42" s="19">
        <f>'4.1 Comptes 2023 natures'!BG108</f>
        <v>3630</v>
      </c>
    </row>
    <row r="43" spans="1:59" x14ac:dyDescent="0.2">
      <c r="C43" s="8">
        <v>442</v>
      </c>
      <c r="D43" s="8" t="s">
        <v>280</v>
      </c>
      <c r="E43" s="19">
        <f>'4.1 Comptes 2023 natures'!E109</f>
        <v>1152.2</v>
      </c>
      <c r="F43" s="19">
        <f>'4.1 Comptes 2023 natures'!F109</f>
        <v>0</v>
      </c>
      <c r="G43" s="19">
        <f>'4.1 Comptes 2023 natures'!G109</f>
        <v>0</v>
      </c>
      <c r="H43" s="19">
        <f>'4.1 Comptes 2023 natures'!H109</f>
        <v>0</v>
      </c>
      <c r="I43" s="19">
        <f>'4.1 Comptes 2023 natures'!I109</f>
        <v>9946.5</v>
      </c>
      <c r="J43" s="19">
        <f>'4.1 Comptes 2023 natures'!J109</f>
        <v>2039.5</v>
      </c>
      <c r="K43" s="19">
        <f>'4.1 Comptes 2023 natures'!K109</f>
        <v>0</v>
      </c>
      <c r="L43" s="19">
        <f>'4.1 Comptes 2023 natures'!L109</f>
        <v>43573</v>
      </c>
      <c r="M43" s="19">
        <f>'4.1 Comptes 2023 natures'!M109</f>
        <v>0</v>
      </c>
      <c r="N43" s="19">
        <f>'4.1 Comptes 2023 natures'!N109</f>
        <v>0</v>
      </c>
      <c r="O43" s="19">
        <f>'4.1 Comptes 2023 natures'!O109</f>
        <v>5156.5</v>
      </c>
      <c r="P43" s="19">
        <f>'4.1 Comptes 2023 natures'!P109</f>
        <v>0</v>
      </c>
      <c r="Q43" s="19">
        <f>'4.1 Comptes 2023 natures'!Q109</f>
        <v>23</v>
      </c>
      <c r="R43" s="19">
        <f>'4.1 Comptes 2023 natures'!R109</f>
        <v>0</v>
      </c>
      <c r="S43" s="19">
        <f>'4.1 Comptes 2023 natures'!S109</f>
        <v>3.57</v>
      </c>
      <c r="T43" s="19">
        <f>'4.1 Comptes 2023 natures'!T109</f>
        <v>1357.5</v>
      </c>
      <c r="U43" s="19">
        <f>'4.1 Comptes 2023 natures'!U109</f>
        <v>0</v>
      </c>
      <c r="V43" s="19">
        <f>'4.1 Comptes 2023 natures'!V109</f>
        <v>0</v>
      </c>
      <c r="W43" s="19">
        <f>'4.1 Comptes 2023 natures'!W109</f>
        <v>229</v>
      </c>
      <c r="X43" s="19">
        <f>'4.1 Comptes 2023 natures'!X109</f>
        <v>5</v>
      </c>
      <c r="Y43" s="19">
        <f>'4.1 Comptes 2023 natures'!Y109</f>
        <v>0</v>
      </c>
      <c r="Z43" s="19">
        <f>'4.1 Comptes 2023 natures'!Z109</f>
        <v>0</v>
      </c>
      <c r="AA43" s="19">
        <f>'4.1 Comptes 2023 natures'!AA109</f>
        <v>0</v>
      </c>
      <c r="AB43" s="19">
        <f>'4.1 Comptes 2023 natures'!AB109</f>
        <v>0</v>
      </c>
      <c r="AC43" s="19">
        <f>'4.1 Comptes 2023 natures'!AC109</f>
        <v>17.5</v>
      </c>
      <c r="AD43" s="19">
        <f>'4.1 Comptes 2023 natures'!AD109</f>
        <v>0</v>
      </c>
      <c r="AE43" s="19">
        <f>'4.1 Comptes 2023 natures'!AE109</f>
        <v>0</v>
      </c>
      <c r="AF43" s="19">
        <f>'4.1 Comptes 2023 natures'!AF109</f>
        <v>13355</v>
      </c>
      <c r="AG43" s="19">
        <f>'4.1 Comptes 2023 natures'!AG109</f>
        <v>40500</v>
      </c>
      <c r="AH43" s="19">
        <f>'4.1 Comptes 2023 natures'!AH109</f>
        <v>0</v>
      </c>
      <c r="AI43" s="19">
        <f>'4.1 Comptes 2023 natures'!AI109</f>
        <v>0</v>
      </c>
      <c r="AJ43" s="19">
        <f>'4.1 Comptes 2023 natures'!AJ109</f>
        <v>0</v>
      </c>
      <c r="AK43" s="19">
        <f>'4.1 Comptes 2023 natures'!AK109</f>
        <v>2430</v>
      </c>
      <c r="AL43" s="19">
        <f>'4.1 Comptes 2023 natures'!AL109</f>
        <v>0</v>
      </c>
      <c r="AM43" s="19">
        <f>'4.1 Comptes 2023 natures'!AM109</f>
        <v>0</v>
      </c>
      <c r="AN43" s="19">
        <f>'4.1 Comptes 2023 natures'!AN109</f>
        <v>0</v>
      </c>
      <c r="AO43" s="19">
        <f>'4.1 Comptes 2023 natures'!AO109</f>
        <v>40</v>
      </c>
      <c r="AP43" s="19">
        <f>'4.1 Comptes 2023 natures'!AP109</f>
        <v>0</v>
      </c>
      <c r="AQ43" s="19">
        <f>'4.1 Comptes 2023 natures'!AQ109</f>
        <v>12167.75</v>
      </c>
      <c r="AR43" s="19">
        <f>'4.1 Comptes 2023 natures'!AR109</f>
        <v>0</v>
      </c>
      <c r="AS43" s="19">
        <f>'4.1 Comptes 2023 natures'!AS109</f>
        <v>380</v>
      </c>
      <c r="AT43" s="19">
        <f>'4.1 Comptes 2023 natures'!AT109</f>
        <v>0</v>
      </c>
      <c r="AU43" s="19">
        <f>'4.1 Comptes 2023 natures'!AU109</f>
        <v>1647.5</v>
      </c>
      <c r="AV43" s="19">
        <f>'4.1 Comptes 2023 natures'!AV109</f>
        <v>3367.25</v>
      </c>
      <c r="AW43" s="19">
        <f>'4.1 Comptes 2023 natures'!AW109</f>
        <v>0</v>
      </c>
      <c r="AX43" s="19">
        <f>'4.1 Comptes 2023 natures'!AX109</f>
        <v>0</v>
      </c>
      <c r="AY43" s="19">
        <f>'4.1 Comptes 2023 natures'!AY109</f>
        <v>0</v>
      </c>
      <c r="AZ43" s="19">
        <f>'4.1 Comptes 2023 natures'!AZ109</f>
        <v>0</v>
      </c>
      <c r="BA43" s="19">
        <f>'4.1 Comptes 2023 natures'!BA109</f>
        <v>1088.43</v>
      </c>
      <c r="BB43" s="19">
        <f>'4.1 Comptes 2023 natures'!BB109</f>
        <v>34411.61</v>
      </c>
      <c r="BC43" s="19">
        <f>'4.1 Comptes 2023 natures'!BC109</f>
        <v>20</v>
      </c>
      <c r="BD43" s="19">
        <f>'4.1 Comptes 2023 natures'!BD109</f>
        <v>172910.81</v>
      </c>
      <c r="BE43" s="19">
        <f>'4.1 Comptes 2023 natures'!BE109</f>
        <v>63480.77</v>
      </c>
      <c r="BF43" s="19">
        <f>'4.1 Comptes 2023 natures'!BF109</f>
        <v>53877.5</v>
      </c>
      <c r="BG43" s="19">
        <f>'4.1 Comptes 2023 natures'!BG109</f>
        <v>55552.54</v>
      </c>
    </row>
    <row r="44" spans="1:59" x14ac:dyDescent="0.2">
      <c r="C44" s="8">
        <v>443</v>
      </c>
      <c r="D44" s="8" t="s">
        <v>281</v>
      </c>
      <c r="E44" s="19">
        <f>'4.1 Comptes 2023 natures'!E110</f>
        <v>23711.5</v>
      </c>
      <c r="F44" s="19">
        <f>'4.1 Comptes 2023 natures'!F110</f>
        <v>22320</v>
      </c>
      <c r="G44" s="19">
        <f>'4.1 Comptes 2023 natures'!G110</f>
        <v>113427.2</v>
      </c>
      <c r="H44" s="19">
        <f>'4.1 Comptes 2023 natures'!H110</f>
        <v>78099</v>
      </c>
      <c r="I44" s="19">
        <f>'4.1 Comptes 2023 natures'!I110</f>
        <v>373832.85</v>
      </c>
      <c r="J44" s="19">
        <f>'4.1 Comptes 2023 natures'!J110</f>
        <v>136680</v>
      </c>
      <c r="K44" s="19">
        <f>'4.1 Comptes 2023 natures'!K110</f>
        <v>130178.6</v>
      </c>
      <c r="L44" s="19">
        <f>'4.1 Comptes 2023 natures'!L110</f>
        <v>1138534.74</v>
      </c>
      <c r="M44" s="19">
        <f>'4.1 Comptes 2023 natures'!M110</f>
        <v>17428.8</v>
      </c>
      <c r="N44" s="19">
        <f>'4.1 Comptes 2023 natures'!N110</f>
        <v>21600</v>
      </c>
      <c r="O44" s="19">
        <f>'4.1 Comptes 2023 natures'!O110</f>
        <v>105774.25</v>
      </c>
      <c r="P44" s="19">
        <f>'4.1 Comptes 2023 natures'!P110</f>
        <v>24970</v>
      </c>
      <c r="Q44" s="19">
        <f>'4.1 Comptes 2023 natures'!Q110</f>
        <v>10140</v>
      </c>
      <c r="R44" s="19">
        <f>'4.1 Comptes 2023 natures'!R110</f>
        <v>28680</v>
      </c>
      <c r="S44" s="19">
        <f>'4.1 Comptes 2023 natures'!S110</f>
        <v>14800</v>
      </c>
      <c r="T44" s="19">
        <f>'4.1 Comptes 2023 natures'!T110</f>
        <v>58165.48</v>
      </c>
      <c r="U44" s="19">
        <f>'4.1 Comptes 2023 natures'!U110</f>
        <v>0</v>
      </c>
      <c r="V44" s="19">
        <f>'4.1 Comptes 2023 natures'!V110</f>
        <v>20375</v>
      </c>
      <c r="W44" s="19">
        <f>'4.1 Comptes 2023 natures'!W110</f>
        <v>140488.04999999999</v>
      </c>
      <c r="X44" s="19">
        <f>'4.1 Comptes 2023 natures'!X110</f>
        <v>1410</v>
      </c>
      <c r="Y44" s="19">
        <f>'4.1 Comptes 2023 natures'!Y110</f>
        <v>42265</v>
      </c>
      <c r="Z44" s="19">
        <f>'4.1 Comptes 2023 natures'!Z110</f>
        <v>268889</v>
      </c>
      <c r="AA44" s="19">
        <f>'4.1 Comptes 2023 natures'!AA110</f>
        <v>25870</v>
      </c>
      <c r="AB44" s="19">
        <f>'4.1 Comptes 2023 natures'!AB110</f>
        <v>49639.55</v>
      </c>
      <c r="AC44" s="19">
        <f>'4.1 Comptes 2023 natures'!AC110</f>
        <v>78045.7</v>
      </c>
      <c r="AD44" s="19">
        <f>'4.1 Comptes 2023 natures'!AD110</f>
        <v>1661</v>
      </c>
      <c r="AE44" s="19">
        <f>'4.1 Comptes 2023 natures'!AE110</f>
        <v>78894.100000000006</v>
      </c>
      <c r="AF44" s="19">
        <f>'4.1 Comptes 2023 natures'!AF110</f>
        <v>88679.35</v>
      </c>
      <c r="AG44" s="19">
        <f>'4.1 Comptes 2023 natures'!AG110</f>
        <v>36849.800000000003</v>
      </c>
      <c r="AH44" s="19">
        <f>'4.1 Comptes 2023 natures'!AH110</f>
        <v>548.08000000000004</v>
      </c>
      <c r="AI44" s="19">
        <f>'4.1 Comptes 2023 natures'!AI110</f>
        <v>25580</v>
      </c>
      <c r="AJ44" s="19">
        <f>'4.1 Comptes 2023 natures'!AJ110</f>
        <v>0</v>
      </c>
      <c r="AK44" s="19">
        <f>'4.1 Comptes 2023 natures'!AK110</f>
        <v>137178.45000000001</v>
      </c>
      <c r="AL44" s="19">
        <f>'4.1 Comptes 2023 natures'!AL110</f>
        <v>67045.350000000006</v>
      </c>
      <c r="AM44" s="19">
        <f>'4.1 Comptes 2023 natures'!AM110</f>
        <v>8548.4</v>
      </c>
      <c r="AN44" s="19">
        <f>'4.1 Comptes 2023 natures'!AN110</f>
        <v>211748.73</v>
      </c>
      <c r="AO44" s="19">
        <f>'4.1 Comptes 2023 natures'!AO110</f>
        <v>25423.5</v>
      </c>
      <c r="AP44" s="19">
        <f>'4.1 Comptes 2023 natures'!AP110</f>
        <v>16068.55</v>
      </c>
      <c r="AQ44" s="19">
        <f>'4.1 Comptes 2023 natures'!AQ110</f>
        <v>415913.9</v>
      </c>
      <c r="AR44" s="19">
        <f>'4.1 Comptes 2023 natures'!AR110</f>
        <v>20122.400000000001</v>
      </c>
      <c r="AS44" s="19">
        <f>'4.1 Comptes 2023 natures'!AS110</f>
        <v>69256.95</v>
      </c>
      <c r="AT44" s="19">
        <f>'4.1 Comptes 2023 natures'!AT110</f>
        <v>29207.8</v>
      </c>
      <c r="AU44" s="19">
        <f>'4.1 Comptes 2023 natures'!AU110</f>
        <v>0</v>
      </c>
      <c r="AV44" s="19">
        <f>'4.1 Comptes 2023 natures'!AV110</f>
        <v>25353.55</v>
      </c>
      <c r="AW44" s="19">
        <f>'4.1 Comptes 2023 natures'!AW110</f>
        <v>6759.95</v>
      </c>
      <c r="AX44" s="19">
        <f>'4.1 Comptes 2023 natures'!AX110</f>
        <v>39581.800000000003</v>
      </c>
      <c r="AY44" s="19">
        <f>'4.1 Comptes 2023 natures'!AY110</f>
        <v>62597.8</v>
      </c>
      <c r="AZ44" s="19">
        <f>'4.1 Comptes 2023 natures'!AZ110</f>
        <v>33449.699999999997</v>
      </c>
      <c r="BA44" s="19">
        <f>'4.1 Comptes 2023 natures'!BA110</f>
        <v>95569.55</v>
      </c>
      <c r="BB44" s="19">
        <f>'4.1 Comptes 2023 natures'!BB110</f>
        <v>316883.3</v>
      </c>
      <c r="BC44" s="19">
        <f>'4.1 Comptes 2023 natures'!BC110</f>
        <v>43283.87</v>
      </c>
      <c r="BD44" s="19">
        <f>'4.1 Comptes 2023 natures'!BD110</f>
        <v>4781530.5999999996</v>
      </c>
      <c r="BE44" s="19">
        <f>'4.1 Comptes 2023 natures'!BE110</f>
        <v>2459205.4700000002</v>
      </c>
      <c r="BF44" s="19">
        <f>'4.1 Comptes 2023 natures'!BF110</f>
        <v>698331.58</v>
      </c>
      <c r="BG44" s="19">
        <f>'4.1 Comptes 2023 natures'!BG110</f>
        <v>1623993.5500000003</v>
      </c>
    </row>
    <row r="45" spans="1:59" x14ac:dyDescent="0.2">
      <c r="C45" s="8">
        <v>444</v>
      </c>
      <c r="D45" s="8" t="s">
        <v>567</v>
      </c>
      <c r="E45" s="135">
        <f>'4.1 Comptes 2023 natures'!E111</f>
        <v>0</v>
      </c>
      <c r="F45" s="135">
        <f>'4.1 Comptes 2023 natures'!F111</f>
        <v>0</v>
      </c>
      <c r="G45" s="135">
        <f>'4.1 Comptes 2023 natures'!G111</f>
        <v>224370.76</v>
      </c>
      <c r="H45" s="135">
        <f>'4.1 Comptes 2023 natures'!H111</f>
        <v>0</v>
      </c>
      <c r="I45" s="135">
        <f>'4.1 Comptes 2023 natures'!I111</f>
        <v>50600</v>
      </c>
      <c r="J45" s="135">
        <f>'4.1 Comptes 2023 natures'!J111</f>
        <v>0</v>
      </c>
      <c r="K45" s="135">
        <f>'4.1 Comptes 2023 natures'!K111</f>
        <v>0</v>
      </c>
      <c r="L45" s="135">
        <f>'4.1 Comptes 2023 natures'!L111</f>
        <v>1925593.4</v>
      </c>
      <c r="M45" s="135">
        <f>'4.1 Comptes 2023 natures'!M111</f>
        <v>0</v>
      </c>
      <c r="N45" s="135">
        <f>'4.1 Comptes 2023 natures'!N111</f>
        <v>0</v>
      </c>
      <c r="O45" s="135">
        <f>'4.1 Comptes 2023 natures'!O111</f>
        <v>18400</v>
      </c>
      <c r="P45" s="135">
        <f>'4.1 Comptes 2023 natures'!P111</f>
        <v>0</v>
      </c>
      <c r="Q45" s="135">
        <f>'4.1 Comptes 2023 natures'!Q111</f>
        <v>0</v>
      </c>
      <c r="R45" s="135">
        <f>'4.1 Comptes 2023 natures'!R111</f>
        <v>205200</v>
      </c>
      <c r="S45" s="135">
        <f>'4.1 Comptes 2023 natures'!S111</f>
        <v>72100</v>
      </c>
      <c r="T45" s="135">
        <f>'4.1 Comptes 2023 natures'!T111</f>
        <v>737.8</v>
      </c>
      <c r="U45" s="135">
        <f>'4.1 Comptes 2023 natures'!U111</f>
        <v>22550</v>
      </c>
      <c r="V45" s="135">
        <f>'4.1 Comptes 2023 natures'!V111</f>
        <v>0</v>
      </c>
      <c r="W45" s="135">
        <f>'4.1 Comptes 2023 natures'!W111</f>
        <v>-200</v>
      </c>
      <c r="X45" s="135">
        <f>'4.1 Comptes 2023 natures'!X111</f>
        <v>0</v>
      </c>
      <c r="Y45" s="135">
        <f>'4.1 Comptes 2023 natures'!Y111</f>
        <v>0</v>
      </c>
      <c r="Z45" s="135">
        <f>'4.1 Comptes 2023 natures'!Z111</f>
        <v>0</v>
      </c>
      <c r="AA45" s="135">
        <f>'4.1 Comptes 2023 natures'!AA111</f>
        <v>9128</v>
      </c>
      <c r="AB45" s="135">
        <f>'4.1 Comptes 2023 natures'!AB111</f>
        <v>9200</v>
      </c>
      <c r="AC45" s="135">
        <f>'4.1 Comptes 2023 natures'!AC111</f>
        <v>0</v>
      </c>
      <c r="AD45" s="135">
        <f>'4.1 Comptes 2023 natures'!AD111</f>
        <v>325</v>
      </c>
      <c r="AE45" s="135">
        <f>'4.1 Comptes 2023 natures'!AE111</f>
        <v>0</v>
      </c>
      <c r="AF45" s="135">
        <f>'4.1 Comptes 2023 natures'!AF111</f>
        <v>73600</v>
      </c>
      <c r="AG45" s="135">
        <f>'4.1 Comptes 2023 natures'!AG111</f>
        <v>22925</v>
      </c>
      <c r="AH45" s="135">
        <f>'4.1 Comptes 2023 natures'!AH111</f>
        <v>1150</v>
      </c>
      <c r="AI45" s="135">
        <f>'4.1 Comptes 2023 natures'!AI111</f>
        <v>0</v>
      </c>
      <c r="AJ45" s="135">
        <f>'4.1 Comptes 2023 natures'!AJ111</f>
        <v>0</v>
      </c>
      <c r="AK45" s="135">
        <f>'4.1 Comptes 2023 natures'!AK111</f>
        <v>737529.2</v>
      </c>
      <c r="AL45" s="135">
        <f>'4.1 Comptes 2023 natures'!AL111</f>
        <v>0</v>
      </c>
      <c r="AM45" s="135">
        <f>'4.1 Comptes 2023 natures'!AM111</f>
        <v>0</v>
      </c>
      <c r="AN45" s="135">
        <f>'4.1 Comptes 2023 natures'!AN111</f>
        <v>0</v>
      </c>
      <c r="AO45" s="135">
        <f>'4.1 Comptes 2023 natures'!AO111</f>
        <v>0</v>
      </c>
      <c r="AP45" s="135">
        <f>'4.1 Comptes 2023 natures'!AP111</f>
        <v>0</v>
      </c>
      <c r="AQ45" s="135">
        <f>'4.1 Comptes 2023 natures'!AQ111</f>
        <v>0</v>
      </c>
      <c r="AR45" s="135">
        <f>'4.1 Comptes 2023 natures'!AR111</f>
        <v>120825</v>
      </c>
      <c r="AS45" s="135">
        <f>'4.1 Comptes 2023 natures'!AS111</f>
        <v>0</v>
      </c>
      <c r="AT45" s="135">
        <f>'4.1 Comptes 2023 natures'!AT111</f>
        <v>0</v>
      </c>
      <c r="AU45" s="135">
        <f>'4.1 Comptes 2023 natures'!AU111</f>
        <v>0</v>
      </c>
      <c r="AV45" s="135">
        <f>'4.1 Comptes 2023 natures'!AV111</f>
        <v>4400</v>
      </c>
      <c r="AW45" s="135">
        <f>'4.1 Comptes 2023 natures'!AW111</f>
        <v>0</v>
      </c>
      <c r="AX45" s="135">
        <f>'4.1 Comptes 2023 natures'!AX111</f>
        <v>0</v>
      </c>
      <c r="AY45" s="135">
        <f>'4.1 Comptes 2023 natures'!AY111</f>
        <v>23000</v>
      </c>
      <c r="AZ45" s="135">
        <f>'4.1 Comptes 2023 natures'!AZ111</f>
        <v>40</v>
      </c>
      <c r="BA45" s="135">
        <f>'4.1 Comptes 2023 natures'!BA111</f>
        <v>9200</v>
      </c>
      <c r="BB45" s="135">
        <f>'4.1 Comptes 2023 natures'!BB111</f>
        <v>307875</v>
      </c>
      <c r="BC45" s="135">
        <f>'4.1 Comptes 2023 natures'!BC111</f>
        <v>0</v>
      </c>
      <c r="BD45" s="135">
        <f>'4.1 Comptes 2023 natures'!BD111</f>
        <v>3838549.16</v>
      </c>
      <c r="BE45" s="135">
        <f>'4.1 Comptes 2023 natures'!BE111</f>
        <v>2519351.96</v>
      </c>
      <c r="BF45" s="135">
        <f>'4.1 Comptes 2023 natures'!BF111</f>
        <v>116328</v>
      </c>
      <c r="BG45" s="135">
        <f>'4.1 Comptes 2023 natures'!BG111</f>
        <v>1202869.2</v>
      </c>
    </row>
    <row r="46" spans="1:59" x14ac:dyDescent="0.2">
      <c r="C46" s="8">
        <v>4490</v>
      </c>
      <c r="D46" s="8" t="s">
        <v>568</v>
      </c>
      <c r="E46" s="135">
        <f>'4.1 Comptes 2023 natures'!E184</f>
        <v>0</v>
      </c>
      <c r="F46" s="135">
        <f>'4.1 Comptes 2023 natures'!F184</f>
        <v>0</v>
      </c>
      <c r="G46" s="135">
        <f>'4.1 Comptes 2023 natures'!G184</f>
        <v>0</v>
      </c>
      <c r="H46" s="135">
        <f>'4.1 Comptes 2023 natures'!H184</f>
        <v>0</v>
      </c>
      <c r="I46" s="135">
        <f>'4.1 Comptes 2023 natures'!I184</f>
        <v>0</v>
      </c>
      <c r="J46" s="135">
        <f>'4.1 Comptes 2023 natures'!J184</f>
        <v>0</v>
      </c>
      <c r="K46" s="135">
        <f>'4.1 Comptes 2023 natures'!K184</f>
        <v>0</v>
      </c>
      <c r="L46" s="135">
        <f>'4.1 Comptes 2023 natures'!L184</f>
        <v>0</v>
      </c>
      <c r="M46" s="135">
        <f>'4.1 Comptes 2023 natures'!M184</f>
        <v>0</v>
      </c>
      <c r="N46" s="135">
        <f>'4.1 Comptes 2023 natures'!N184</f>
        <v>0</v>
      </c>
      <c r="O46" s="135">
        <f>'4.1 Comptes 2023 natures'!O184</f>
        <v>1566.5</v>
      </c>
      <c r="P46" s="135">
        <f>'4.1 Comptes 2023 natures'!P184</f>
        <v>0</v>
      </c>
      <c r="Q46" s="135">
        <f>'4.1 Comptes 2023 natures'!Q184</f>
        <v>0</v>
      </c>
      <c r="R46" s="135">
        <f>'4.1 Comptes 2023 natures'!R184</f>
        <v>0</v>
      </c>
      <c r="S46" s="135">
        <f>'4.1 Comptes 2023 natures'!S184</f>
        <v>0</v>
      </c>
      <c r="T46" s="135">
        <f>'4.1 Comptes 2023 natures'!T184</f>
        <v>0</v>
      </c>
      <c r="U46" s="135">
        <f>'4.1 Comptes 2023 natures'!U184</f>
        <v>0</v>
      </c>
      <c r="V46" s="135">
        <f>'4.1 Comptes 2023 natures'!V184</f>
        <v>0</v>
      </c>
      <c r="W46" s="135">
        <f>'4.1 Comptes 2023 natures'!W184</f>
        <v>0</v>
      </c>
      <c r="X46" s="135">
        <f>'4.1 Comptes 2023 natures'!X184</f>
        <v>0</v>
      </c>
      <c r="Y46" s="135">
        <f>'4.1 Comptes 2023 natures'!Y184</f>
        <v>0</v>
      </c>
      <c r="Z46" s="135">
        <f>'4.1 Comptes 2023 natures'!Z184</f>
        <v>0</v>
      </c>
      <c r="AA46" s="135">
        <f>'4.1 Comptes 2023 natures'!AA184</f>
        <v>0</v>
      </c>
      <c r="AB46" s="135">
        <f>'4.1 Comptes 2023 natures'!AB184</f>
        <v>0</v>
      </c>
      <c r="AC46" s="135">
        <f>'4.1 Comptes 2023 natures'!AC184</f>
        <v>0</v>
      </c>
      <c r="AD46" s="135">
        <f>'4.1 Comptes 2023 natures'!AD184</f>
        <v>0</v>
      </c>
      <c r="AE46" s="135">
        <f>'4.1 Comptes 2023 natures'!AE184</f>
        <v>0</v>
      </c>
      <c r="AF46" s="135">
        <f>'4.1 Comptes 2023 natures'!AF184</f>
        <v>31.87</v>
      </c>
      <c r="AG46" s="135">
        <f>'4.1 Comptes 2023 natures'!AG184</f>
        <v>0</v>
      </c>
      <c r="AH46" s="135">
        <f>'4.1 Comptes 2023 natures'!AH184</f>
        <v>0</v>
      </c>
      <c r="AI46" s="135">
        <f>'4.1 Comptes 2023 natures'!AI184</f>
        <v>6920</v>
      </c>
      <c r="AJ46" s="135">
        <f>'4.1 Comptes 2023 natures'!AJ184</f>
        <v>0</v>
      </c>
      <c r="AK46" s="135">
        <f>'4.1 Comptes 2023 natures'!AK184</f>
        <v>900</v>
      </c>
      <c r="AL46" s="135">
        <f>'4.1 Comptes 2023 natures'!AL184</f>
        <v>0</v>
      </c>
      <c r="AM46" s="135">
        <f>'4.1 Comptes 2023 natures'!AM184</f>
        <v>0</v>
      </c>
      <c r="AN46" s="135">
        <f>'4.1 Comptes 2023 natures'!AN184</f>
        <v>0</v>
      </c>
      <c r="AO46" s="135">
        <f>'4.1 Comptes 2023 natures'!AO184</f>
        <v>0</v>
      </c>
      <c r="AP46" s="135">
        <f>'4.1 Comptes 2023 natures'!AP184</f>
        <v>0</v>
      </c>
      <c r="AQ46" s="135">
        <f>'4.1 Comptes 2023 natures'!AQ184</f>
        <v>0</v>
      </c>
      <c r="AR46" s="135">
        <f>'4.1 Comptes 2023 natures'!AR184</f>
        <v>0</v>
      </c>
      <c r="AS46" s="135">
        <f>'4.1 Comptes 2023 natures'!AS184</f>
        <v>0</v>
      </c>
      <c r="AT46" s="135">
        <f>'4.1 Comptes 2023 natures'!AT184</f>
        <v>0</v>
      </c>
      <c r="AU46" s="135">
        <f>'4.1 Comptes 2023 natures'!AU184</f>
        <v>0</v>
      </c>
      <c r="AV46" s="135">
        <f>'4.1 Comptes 2023 natures'!AV184</f>
        <v>0</v>
      </c>
      <c r="AW46" s="135">
        <f>'4.1 Comptes 2023 natures'!AW184</f>
        <v>0</v>
      </c>
      <c r="AX46" s="135">
        <f>'4.1 Comptes 2023 natures'!AX184</f>
        <v>0</v>
      </c>
      <c r="AY46" s="135">
        <f>'4.1 Comptes 2023 natures'!AY184</f>
        <v>0</v>
      </c>
      <c r="AZ46" s="135">
        <f>'4.1 Comptes 2023 natures'!AZ184</f>
        <v>0</v>
      </c>
      <c r="BA46" s="135">
        <f>'4.1 Comptes 2023 natures'!BA184</f>
        <v>0</v>
      </c>
      <c r="BB46" s="135">
        <f>'4.1 Comptes 2023 natures'!BB184</f>
        <v>0</v>
      </c>
      <c r="BC46" s="135">
        <f>'4.1 Comptes 2023 natures'!BC184</f>
        <v>0</v>
      </c>
      <c r="BD46" s="135">
        <f>'4.1 Comptes 2023 natures'!BD184</f>
        <v>9418.369999999999</v>
      </c>
      <c r="BE46" s="135">
        <f>'4.1 Comptes 2023 natures'!BE184</f>
        <v>1566.5</v>
      </c>
      <c r="BF46" s="135">
        <f>'4.1 Comptes 2023 natures'!BF184</f>
        <v>6951.87</v>
      </c>
      <c r="BG46" s="135">
        <f>'4.1 Comptes 2023 natures'!BG184</f>
        <v>900</v>
      </c>
    </row>
    <row r="47" spans="1:59" x14ac:dyDescent="0.2">
      <c r="C47" s="8">
        <v>45</v>
      </c>
      <c r="D47" s="8" t="s">
        <v>285</v>
      </c>
      <c r="E47" s="135">
        <f>'4.1 Comptes 2023 natures'!E118</f>
        <v>12959.55</v>
      </c>
      <c r="F47" s="135">
        <f>'4.1 Comptes 2023 natures'!F118</f>
        <v>0</v>
      </c>
      <c r="G47" s="135">
        <f>'4.1 Comptes 2023 natures'!G118</f>
        <v>12408.2</v>
      </c>
      <c r="H47" s="135">
        <f>'4.1 Comptes 2023 natures'!H118</f>
        <v>40836.5</v>
      </c>
      <c r="I47" s="135">
        <f>'4.1 Comptes 2023 natures'!I118</f>
        <v>184415.3</v>
      </c>
      <c r="J47" s="135">
        <f>'4.1 Comptes 2023 natures'!J118</f>
        <v>87595.03</v>
      </c>
      <c r="K47" s="135">
        <f>'4.1 Comptes 2023 natures'!K118</f>
        <v>71539.899999999994</v>
      </c>
      <c r="L47" s="135">
        <f>'4.1 Comptes 2023 natures'!L118</f>
        <v>316084.8</v>
      </c>
      <c r="M47" s="135">
        <f>'4.1 Comptes 2023 natures'!M118</f>
        <v>284011.98000000004</v>
      </c>
      <c r="N47" s="135">
        <f>'4.1 Comptes 2023 natures'!N118</f>
        <v>0</v>
      </c>
      <c r="O47" s="135">
        <f>'4.1 Comptes 2023 natures'!O118</f>
        <v>348996.55</v>
      </c>
      <c r="P47" s="135">
        <f>'4.1 Comptes 2023 natures'!P118</f>
        <v>0</v>
      </c>
      <c r="Q47" s="135">
        <f>'4.1 Comptes 2023 natures'!Q118</f>
        <v>2509.4</v>
      </c>
      <c r="R47" s="135">
        <f>'4.1 Comptes 2023 natures'!R118</f>
        <v>9182.09</v>
      </c>
      <c r="S47" s="135">
        <f>'4.1 Comptes 2023 natures'!S118</f>
        <v>41726.49</v>
      </c>
      <c r="T47" s="135">
        <f>'4.1 Comptes 2023 natures'!T118</f>
        <v>31579.35</v>
      </c>
      <c r="U47" s="135">
        <f>'4.1 Comptes 2023 natures'!U118</f>
        <v>684</v>
      </c>
      <c r="V47" s="135">
        <f>'4.1 Comptes 2023 natures'!V118</f>
        <v>0</v>
      </c>
      <c r="W47" s="135">
        <f>'4.1 Comptes 2023 natures'!W118</f>
        <v>8327.75</v>
      </c>
      <c r="X47" s="135">
        <f>'4.1 Comptes 2023 natures'!X118</f>
        <v>0</v>
      </c>
      <c r="Y47" s="135">
        <f>'4.1 Comptes 2023 natures'!Y118</f>
        <v>6179.2</v>
      </c>
      <c r="Z47" s="135">
        <f>'4.1 Comptes 2023 natures'!Z118</f>
        <v>13096.9</v>
      </c>
      <c r="AA47" s="135">
        <f>'4.1 Comptes 2023 natures'!AA118</f>
        <v>398.7</v>
      </c>
      <c r="AB47" s="135">
        <f>'4.1 Comptes 2023 natures'!AB118</f>
        <v>1284.8499999999999</v>
      </c>
      <c r="AC47" s="135">
        <f>'4.1 Comptes 2023 natures'!AC118</f>
        <v>46371.15</v>
      </c>
      <c r="AD47" s="135">
        <f>'4.1 Comptes 2023 natures'!AD118</f>
        <v>1378.25</v>
      </c>
      <c r="AE47" s="135">
        <f>'4.1 Comptes 2023 natures'!AE118</f>
        <v>45822.15</v>
      </c>
      <c r="AF47" s="135">
        <f>'4.1 Comptes 2023 natures'!AF118</f>
        <v>126132.09999999999</v>
      </c>
      <c r="AG47" s="135">
        <f>'4.1 Comptes 2023 natures'!AG118</f>
        <v>6496.9</v>
      </c>
      <c r="AH47" s="135">
        <f>'4.1 Comptes 2023 natures'!AH118</f>
        <v>16545.91</v>
      </c>
      <c r="AI47" s="135">
        <f>'4.1 Comptes 2023 natures'!AI118</f>
        <v>0</v>
      </c>
      <c r="AJ47" s="135">
        <f>'4.1 Comptes 2023 natures'!AJ118</f>
        <v>0</v>
      </c>
      <c r="AK47" s="135">
        <f>'4.1 Comptes 2023 natures'!AK118</f>
        <v>13097.88</v>
      </c>
      <c r="AL47" s="135">
        <f>'4.1 Comptes 2023 natures'!AL118</f>
        <v>0</v>
      </c>
      <c r="AM47" s="135">
        <f>'4.1 Comptes 2023 natures'!AM118</f>
        <v>296.2</v>
      </c>
      <c r="AN47" s="135">
        <f>'4.1 Comptes 2023 natures'!AN118</f>
        <v>8161.2</v>
      </c>
      <c r="AO47" s="135">
        <f>'4.1 Comptes 2023 natures'!AO118</f>
        <v>8677.7000000000007</v>
      </c>
      <c r="AP47" s="135">
        <f>'4.1 Comptes 2023 natures'!AP118</f>
        <v>0</v>
      </c>
      <c r="AQ47" s="135">
        <f>'4.1 Comptes 2023 natures'!AQ118</f>
        <v>103706.15</v>
      </c>
      <c r="AR47" s="135">
        <f>'4.1 Comptes 2023 natures'!AR118</f>
        <v>58981.45</v>
      </c>
      <c r="AS47" s="135">
        <f>'4.1 Comptes 2023 natures'!AS118</f>
        <v>41223.299999999996</v>
      </c>
      <c r="AT47" s="135">
        <f>'4.1 Comptes 2023 natures'!AT118</f>
        <v>897.75</v>
      </c>
      <c r="AU47" s="135">
        <f>'4.1 Comptes 2023 natures'!AU118</f>
        <v>223847.56999999998</v>
      </c>
      <c r="AV47" s="135">
        <f>'4.1 Comptes 2023 natures'!AV118</f>
        <v>2013.8</v>
      </c>
      <c r="AW47" s="135">
        <f>'4.1 Comptes 2023 natures'!AW118</f>
        <v>97720.65</v>
      </c>
      <c r="AX47" s="135">
        <f>'4.1 Comptes 2023 natures'!AX118</f>
        <v>839.75</v>
      </c>
      <c r="AY47" s="135">
        <f>'4.1 Comptes 2023 natures'!AY118</f>
        <v>4225.2</v>
      </c>
      <c r="AZ47" s="135">
        <f>'4.1 Comptes 2023 natures'!AZ118</f>
        <v>86277.54</v>
      </c>
      <c r="BA47" s="135">
        <f>'4.1 Comptes 2023 natures'!BA118</f>
        <v>105653.5</v>
      </c>
      <c r="BB47" s="135">
        <f>'4.1 Comptes 2023 natures'!BB118</f>
        <v>232911.72</v>
      </c>
      <c r="BC47" s="135">
        <f>'4.1 Comptes 2023 natures'!BC118</f>
        <v>120</v>
      </c>
      <c r="BD47" s="135">
        <f>'4.1 Comptes 2023 natures'!BD118</f>
        <v>2705214.36</v>
      </c>
      <c r="BE47" s="135">
        <f>'4.1 Comptes 2023 natures'!BE118</f>
        <v>1452856.8900000001</v>
      </c>
      <c r="BF47" s="135">
        <f>'4.1 Comptes 2023 natures'!BF118</f>
        <v>263706.11</v>
      </c>
      <c r="BG47" s="135">
        <f>'4.1 Comptes 2023 natures'!BG118</f>
        <v>988651.35999999987</v>
      </c>
    </row>
    <row r="48" spans="1:59" x14ac:dyDescent="0.2">
      <c r="C48" s="8">
        <v>46227</v>
      </c>
      <c r="D48" s="8" t="s">
        <v>283</v>
      </c>
      <c r="E48" s="135">
        <f>'4.1 Comptes 2023 natures'!E185</f>
        <v>21092</v>
      </c>
      <c r="F48" s="135">
        <f>'4.1 Comptes 2023 natures'!F185</f>
        <v>159548</v>
      </c>
      <c r="G48" s="135">
        <f>'4.1 Comptes 2023 natures'!G185</f>
        <v>73018</v>
      </c>
      <c r="H48" s="135">
        <f>'4.1 Comptes 2023 natures'!H185</f>
        <v>135724</v>
      </c>
      <c r="I48" s="135">
        <f>'4.1 Comptes 2023 natures'!I185</f>
        <v>1230396</v>
      </c>
      <c r="J48" s="135">
        <f>'4.1 Comptes 2023 natures'!J185</f>
        <v>204796</v>
      </c>
      <c r="K48" s="135">
        <f>'4.1 Comptes 2023 natures'!K185</f>
        <v>0</v>
      </c>
      <c r="L48" s="135">
        <f>'4.1 Comptes 2023 natures'!L185</f>
        <v>0</v>
      </c>
      <c r="M48" s="135">
        <f>'4.1 Comptes 2023 natures'!M185</f>
        <v>0</v>
      </c>
      <c r="N48" s="135">
        <f>'4.1 Comptes 2023 natures'!N185</f>
        <v>113452</v>
      </c>
      <c r="O48" s="135">
        <f>'4.1 Comptes 2023 natures'!O185</f>
        <v>1228561</v>
      </c>
      <c r="P48" s="135">
        <f>'4.1 Comptes 2023 natures'!P185</f>
        <v>304210</v>
      </c>
      <c r="Q48" s="135">
        <f>'4.1 Comptes 2023 natures'!Q185</f>
        <v>46172</v>
      </c>
      <c r="R48" s="135">
        <f>'4.1 Comptes 2023 natures'!R185</f>
        <v>141958</v>
      </c>
      <c r="S48" s="135">
        <f>'4.1 Comptes 2023 natures'!S185</f>
        <v>106306</v>
      </c>
      <c r="T48" s="135">
        <f>'4.1 Comptes 2023 natures'!T185</f>
        <v>0</v>
      </c>
      <c r="U48" s="135">
        <f>'4.1 Comptes 2023 natures'!U185</f>
        <v>193894</v>
      </c>
      <c r="V48" s="135">
        <f>'4.1 Comptes 2023 natures'!V185</f>
        <v>10142</v>
      </c>
      <c r="W48" s="135">
        <f>'4.1 Comptes 2023 natures'!W185</f>
        <v>720672</v>
      </c>
      <c r="X48" s="135">
        <f>'4.1 Comptes 2023 natures'!X185</f>
        <v>16754</v>
      </c>
      <c r="Y48" s="135">
        <f>'4.1 Comptes 2023 natures'!Y185</f>
        <v>0</v>
      </c>
      <c r="Z48" s="135">
        <f>'4.1 Comptes 2023 natures'!Z185</f>
        <v>29266</v>
      </c>
      <c r="AA48" s="135">
        <f>'4.1 Comptes 2023 natures'!AA185</f>
        <v>58576</v>
      </c>
      <c r="AB48" s="135">
        <f>'4.1 Comptes 2023 natures'!AB185</f>
        <v>10638</v>
      </c>
      <c r="AC48" s="135">
        <f>'4.1 Comptes 2023 natures'!AC185</f>
        <v>161112</v>
      </c>
      <c r="AD48" s="135">
        <f>'4.1 Comptes 2023 natures'!AD185</f>
        <v>83696</v>
      </c>
      <c r="AE48" s="135">
        <f>'4.1 Comptes 2023 natures'!AE185</f>
        <v>0</v>
      </c>
      <c r="AF48" s="135">
        <f>'4.1 Comptes 2023 natures'!AF185</f>
        <v>0</v>
      </c>
      <c r="AG48" s="135">
        <f>'4.1 Comptes 2023 natures'!AG185</f>
        <v>242574</v>
      </c>
      <c r="AH48" s="135">
        <f>'4.1 Comptes 2023 natures'!AH185</f>
        <v>170886</v>
      </c>
      <c r="AI48" s="135">
        <f>'4.1 Comptes 2023 natures'!AI185</f>
        <v>49222</v>
      </c>
      <c r="AJ48" s="135">
        <f>'4.1 Comptes 2023 natures'!AJ185</f>
        <v>0</v>
      </c>
      <c r="AK48" s="135">
        <f>'4.1 Comptes 2023 natures'!AK185</f>
        <v>482454</v>
      </c>
      <c r="AL48" s="135">
        <f>'4.1 Comptes 2023 natures'!AL185</f>
        <v>578520</v>
      </c>
      <c r="AM48" s="135">
        <f>'4.1 Comptes 2023 natures'!AM185</f>
        <v>21898</v>
      </c>
      <c r="AN48" s="135">
        <f>'4.1 Comptes 2023 natures'!AN185</f>
        <v>0</v>
      </c>
      <c r="AO48" s="135">
        <f>'4.1 Comptes 2023 natures'!AO185</f>
        <v>0</v>
      </c>
      <c r="AP48" s="135">
        <f>'4.1 Comptes 2023 natures'!AP185</f>
        <v>111253</v>
      </c>
      <c r="AQ48" s="135">
        <f>'4.1 Comptes 2023 natures'!AQ185</f>
        <v>480598</v>
      </c>
      <c r="AR48" s="135">
        <f>'4.1 Comptes 2023 natures'!AR185</f>
        <v>169196</v>
      </c>
      <c r="AS48" s="135">
        <f>'4.1 Comptes 2023 natures'!AS185</f>
        <v>194010</v>
      </c>
      <c r="AT48" s="135">
        <f>'4.1 Comptes 2023 natures'!AT185</f>
        <v>200148</v>
      </c>
      <c r="AU48" s="135">
        <f>'4.1 Comptes 2023 natures'!AU185</f>
        <v>0</v>
      </c>
      <c r="AV48" s="135">
        <f>'4.1 Comptes 2023 natures'!AV185</f>
        <v>0</v>
      </c>
      <c r="AW48" s="135">
        <f>'4.1 Comptes 2023 natures'!AW185</f>
        <v>578925</v>
      </c>
      <c r="AX48" s="135">
        <f>'4.1 Comptes 2023 natures'!AX185</f>
        <v>118932</v>
      </c>
      <c r="AY48" s="135">
        <f>'4.1 Comptes 2023 natures'!AY185</f>
        <v>192929</v>
      </c>
      <c r="AZ48" s="135">
        <f>'4.1 Comptes 2023 natures'!AZ185</f>
        <v>176566</v>
      </c>
      <c r="BA48" s="135">
        <f>'4.1 Comptes 2023 natures'!BA185</f>
        <v>0</v>
      </c>
      <c r="BB48" s="135">
        <f>'4.1 Comptes 2023 natures'!BB185</f>
        <v>0</v>
      </c>
      <c r="BC48" s="135">
        <f>'4.1 Comptes 2023 natures'!BC185</f>
        <v>160226</v>
      </c>
      <c r="BD48" s="135">
        <f>'4.1 Comptes 2023 natures'!BD185</f>
        <v>8978320</v>
      </c>
      <c r="BE48" s="135">
        <f>'4.1 Comptes 2023 natures'!BE185</f>
        <v>4689941</v>
      </c>
      <c r="BF48" s="135">
        <f>'4.1 Comptes 2023 natures'!BF185</f>
        <v>822724</v>
      </c>
      <c r="BG48" s="135">
        <f>'4.1 Comptes 2023 natures'!BG185</f>
        <v>3465655</v>
      </c>
    </row>
    <row r="49" spans="1:59" x14ac:dyDescent="0.2">
      <c r="C49" s="8">
        <v>46228</v>
      </c>
      <c r="D49" s="8" t="s">
        <v>268</v>
      </c>
      <c r="E49" s="135">
        <f>'4.1 Comptes 2023 natures'!E186</f>
        <v>0</v>
      </c>
      <c r="F49" s="135">
        <f>'4.1 Comptes 2023 natures'!F186</f>
        <v>0</v>
      </c>
      <c r="G49" s="135">
        <f>'4.1 Comptes 2023 natures'!G186</f>
        <v>0</v>
      </c>
      <c r="H49" s="135">
        <f>'4.1 Comptes 2023 natures'!H186</f>
        <v>0</v>
      </c>
      <c r="I49" s="135">
        <f>'4.1 Comptes 2023 natures'!I186</f>
        <v>0</v>
      </c>
      <c r="J49" s="135">
        <f>'4.1 Comptes 2023 natures'!J186</f>
        <v>0</v>
      </c>
      <c r="K49" s="135">
        <f>'4.1 Comptes 2023 natures'!K186</f>
        <v>0</v>
      </c>
      <c r="L49" s="135">
        <f>'4.1 Comptes 2023 natures'!L186</f>
        <v>1018740.6</v>
      </c>
      <c r="M49" s="135">
        <f>'4.1 Comptes 2023 natures'!M186</f>
        <v>0</v>
      </c>
      <c r="N49" s="135">
        <f>'4.1 Comptes 2023 natures'!N186</f>
        <v>0</v>
      </c>
      <c r="O49" s="135">
        <f>'4.1 Comptes 2023 natures'!O186</f>
        <v>0</v>
      </c>
      <c r="P49" s="135">
        <f>'4.1 Comptes 2023 natures'!P186</f>
        <v>0</v>
      </c>
      <c r="Q49" s="135">
        <f>'4.1 Comptes 2023 natures'!Q186</f>
        <v>0</v>
      </c>
      <c r="R49" s="135">
        <f>'4.1 Comptes 2023 natures'!R186</f>
        <v>0</v>
      </c>
      <c r="S49" s="135">
        <f>'4.1 Comptes 2023 natures'!S186</f>
        <v>0</v>
      </c>
      <c r="T49" s="135">
        <f>'4.1 Comptes 2023 natures'!T186</f>
        <v>0</v>
      </c>
      <c r="U49" s="135">
        <f>'4.1 Comptes 2023 natures'!U186</f>
        <v>0</v>
      </c>
      <c r="V49" s="135">
        <f>'4.1 Comptes 2023 natures'!V186</f>
        <v>0</v>
      </c>
      <c r="W49" s="135">
        <f>'4.1 Comptes 2023 natures'!W186</f>
        <v>0</v>
      </c>
      <c r="X49" s="135">
        <f>'4.1 Comptes 2023 natures'!X186</f>
        <v>0</v>
      </c>
      <c r="Y49" s="135">
        <f>'4.1 Comptes 2023 natures'!Y186</f>
        <v>0</v>
      </c>
      <c r="Z49" s="135">
        <f>'4.1 Comptes 2023 natures'!Z186</f>
        <v>0</v>
      </c>
      <c r="AA49" s="135">
        <f>'4.1 Comptes 2023 natures'!AA186</f>
        <v>0</v>
      </c>
      <c r="AB49" s="135">
        <f>'4.1 Comptes 2023 natures'!AB186</f>
        <v>0</v>
      </c>
      <c r="AC49" s="135">
        <f>'4.1 Comptes 2023 natures'!AC186</f>
        <v>0</v>
      </c>
      <c r="AD49" s="135">
        <f>'4.1 Comptes 2023 natures'!AD186</f>
        <v>0</v>
      </c>
      <c r="AE49" s="135">
        <f>'4.1 Comptes 2023 natures'!AE186</f>
        <v>0</v>
      </c>
      <c r="AF49" s="135">
        <f>'4.1 Comptes 2023 natures'!AF186</f>
        <v>0</v>
      </c>
      <c r="AG49" s="135">
        <f>'4.1 Comptes 2023 natures'!AG186</f>
        <v>0</v>
      </c>
      <c r="AH49" s="135">
        <f>'4.1 Comptes 2023 natures'!AH186</f>
        <v>0</v>
      </c>
      <c r="AI49" s="135">
        <f>'4.1 Comptes 2023 natures'!AI186</f>
        <v>0</v>
      </c>
      <c r="AJ49" s="135">
        <f>'4.1 Comptes 2023 natures'!AJ186</f>
        <v>0</v>
      </c>
      <c r="AK49" s="135">
        <f>'4.1 Comptes 2023 natures'!AK186</f>
        <v>0</v>
      </c>
      <c r="AL49" s="135">
        <f>'4.1 Comptes 2023 natures'!AL186</f>
        <v>0</v>
      </c>
      <c r="AM49" s="135">
        <f>'4.1 Comptes 2023 natures'!AM186</f>
        <v>0</v>
      </c>
      <c r="AN49" s="135">
        <f>'4.1 Comptes 2023 natures'!AN186</f>
        <v>0</v>
      </c>
      <c r="AO49" s="135">
        <f>'4.1 Comptes 2023 natures'!AO186</f>
        <v>0</v>
      </c>
      <c r="AP49" s="135">
        <f>'4.1 Comptes 2023 natures'!AP186</f>
        <v>0</v>
      </c>
      <c r="AQ49" s="135">
        <f>'4.1 Comptes 2023 natures'!AQ186</f>
        <v>0</v>
      </c>
      <c r="AR49" s="135">
        <f>'4.1 Comptes 2023 natures'!AR186</f>
        <v>0</v>
      </c>
      <c r="AS49" s="135">
        <f>'4.1 Comptes 2023 natures'!AS186</f>
        <v>0</v>
      </c>
      <c r="AT49" s="135">
        <f>'4.1 Comptes 2023 natures'!AT186</f>
        <v>0</v>
      </c>
      <c r="AU49" s="135">
        <f>'4.1 Comptes 2023 natures'!AU186</f>
        <v>0</v>
      </c>
      <c r="AV49" s="135">
        <f>'4.1 Comptes 2023 natures'!AV186</f>
        <v>0</v>
      </c>
      <c r="AW49" s="135">
        <f>'4.1 Comptes 2023 natures'!AW186</f>
        <v>0</v>
      </c>
      <c r="AX49" s="135">
        <f>'4.1 Comptes 2023 natures'!AX186</f>
        <v>0</v>
      </c>
      <c r="AY49" s="135">
        <f>'4.1 Comptes 2023 natures'!AY186</f>
        <v>0</v>
      </c>
      <c r="AZ49" s="135">
        <f>'4.1 Comptes 2023 natures'!AZ186</f>
        <v>0</v>
      </c>
      <c r="BA49" s="135">
        <f>'4.1 Comptes 2023 natures'!BA186</f>
        <v>0</v>
      </c>
      <c r="BB49" s="135">
        <f>'4.1 Comptes 2023 natures'!BB186</f>
        <v>424122.15</v>
      </c>
      <c r="BC49" s="135">
        <f>'4.1 Comptes 2023 natures'!BC186</f>
        <v>0</v>
      </c>
      <c r="BD49" s="135">
        <f>'4.1 Comptes 2023 natures'!BD186</f>
        <v>1442862.75</v>
      </c>
      <c r="BE49" s="135">
        <f>'4.1 Comptes 2023 natures'!BE186</f>
        <v>1018740.6</v>
      </c>
      <c r="BF49" s="135">
        <f>'4.1 Comptes 2023 natures'!BF186</f>
        <v>0</v>
      </c>
      <c r="BG49" s="135">
        <f>'4.1 Comptes 2023 natures'!BG186</f>
        <v>424122.15</v>
      </c>
    </row>
    <row r="50" spans="1:59" x14ac:dyDescent="0.2">
      <c r="C50" s="8">
        <v>47</v>
      </c>
      <c r="D50" s="8" t="s">
        <v>115</v>
      </c>
      <c r="E50" s="135">
        <f>'4.1 Comptes 2023 natures'!E129</f>
        <v>0</v>
      </c>
      <c r="F50" s="135">
        <f>'4.1 Comptes 2023 natures'!F129</f>
        <v>0</v>
      </c>
      <c r="G50" s="135">
        <f>'4.1 Comptes 2023 natures'!G129</f>
        <v>0</v>
      </c>
      <c r="H50" s="135">
        <f>'4.1 Comptes 2023 natures'!H129</f>
        <v>0</v>
      </c>
      <c r="I50" s="135">
        <f>'4.1 Comptes 2023 natures'!I129</f>
        <v>0</v>
      </c>
      <c r="J50" s="135">
        <f>'4.1 Comptes 2023 natures'!J129</f>
        <v>0</v>
      </c>
      <c r="K50" s="135">
        <f>'4.1 Comptes 2023 natures'!K129</f>
        <v>0</v>
      </c>
      <c r="L50" s="135">
        <f>'4.1 Comptes 2023 natures'!L129</f>
        <v>0</v>
      </c>
      <c r="M50" s="135">
        <f>'4.1 Comptes 2023 natures'!M129</f>
        <v>0</v>
      </c>
      <c r="N50" s="135">
        <f>'4.1 Comptes 2023 natures'!N129</f>
        <v>0</v>
      </c>
      <c r="O50" s="135">
        <f>'4.1 Comptes 2023 natures'!O129</f>
        <v>0</v>
      </c>
      <c r="P50" s="135">
        <f>'4.1 Comptes 2023 natures'!P129</f>
        <v>0</v>
      </c>
      <c r="Q50" s="135">
        <f>'4.1 Comptes 2023 natures'!Q129</f>
        <v>0</v>
      </c>
      <c r="R50" s="135">
        <f>'4.1 Comptes 2023 natures'!R129</f>
        <v>0</v>
      </c>
      <c r="S50" s="135">
        <f>'4.1 Comptes 2023 natures'!S129</f>
        <v>0</v>
      </c>
      <c r="T50" s="135">
        <f>'4.1 Comptes 2023 natures'!T129</f>
        <v>0</v>
      </c>
      <c r="U50" s="135">
        <f>'4.1 Comptes 2023 natures'!U129</f>
        <v>0</v>
      </c>
      <c r="V50" s="135">
        <f>'4.1 Comptes 2023 natures'!V129</f>
        <v>0</v>
      </c>
      <c r="W50" s="135">
        <f>'4.1 Comptes 2023 natures'!W129</f>
        <v>0</v>
      </c>
      <c r="X50" s="135">
        <f>'4.1 Comptes 2023 natures'!X129</f>
        <v>466114.95</v>
      </c>
      <c r="Y50" s="135">
        <f>'4.1 Comptes 2023 natures'!Y129</f>
        <v>0</v>
      </c>
      <c r="Z50" s="135">
        <f>'4.1 Comptes 2023 natures'!Z129</f>
        <v>585449.4</v>
      </c>
      <c r="AA50" s="135">
        <f>'4.1 Comptes 2023 natures'!AA129</f>
        <v>195651.95</v>
      </c>
      <c r="AB50" s="135">
        <f>'4.1 Comptes 2023 natures'!AB129</f>
        <v>157177.60000000001</v>
      </c>
      <c r="AC50" s="135">
        <f>'4.1 Comptes 2023 natures'!AC129</f>
        <v>0</v>
      </c>
      <c r="AD50" s="135">
        <f>'4.1 Comptes 2023 natures'!AD129</f>
        <v>249241</v>
      </c>
      <c r="AE50" s="135">
        <f>'4.1 Comptes 2023 natures'!AE129</f>
        <v>608649.4</v>
      </c>
      <c r="AF50" s="135">
        <f>'4.1 Comptes 2023 natures'!AF129</f>
        <v>417668.5</v>
      </c>
      <c r="AG50" s="135">
        <f>'4.1 Comptes 2023 natures'!AG129</f>
        <v>0</v>
      </c>
      <c r="AH50" s="135">
        <f>'4.1 Comptes 2023 natures'!AH129</f>
        <v>2864</v>
      </c>
      <c r="AI50" s="135">
        <f>'4.1 Comptes 2023 natures'!AI129</f>
        <v>0</v>
      </c>
      <c r="AJ50" s="135">
        <f>'4.1 Comptes 2023 natures'!AJ129</f>
        <v>0</v>
      </c>
      <c r="AK50" s="135">
        <f>'4.1 Comptes 2023 natures'!AK129</f>
        <v>0</v>
      </c>
      <c r="AL50" s="135">
        <f>'4.1 Comptes 2023 natures'!AL129</f>
        <v>0</v>
      </c>
      <c r="AM50" s="135">
        <f>'4.1 Comptes 2023 natures'!AM129</f>
        <v>0</v>
      </c>
      <c r="AN50" s="135">
        <f>'4.1 Comptes 2023 natures'!AN129</f>
        <v>0</v>
      </c>
      <c r="AO50" s="135">
        <f>'4.1 Comptes 2023 natures'!AO129</f>
        <v>0</v>
      </c>
      <c r="AP50" s="135">
        <f>'4.1 Comptes 2023 natures'!AP129</f>
        <v>0</v>
      </c>
      <c r="AQ50" s="135">
        <f>'4.1 Comptes 2023 natures'!AQ129</f>
        <v>51182.95</v>
      </c>
      <c r="AR50" s="135">
        <f>'4.1 Comptes 2023 natures'!AR129</f>
        <v>0</v>
      </c>
      <c r="AS50" s="135">
        <f>'4.1 Comptes 2023 natures'!AS129</f>
        <v>0</v>
      </c>
      <c r="AT50" s="135">
        <f>'4.1 Comptes 2023 natures'!AT129</f>
        <v>0</v>
      </c>
      <c r="AU50" s="135">
        <f>'4.1 Comptes 2023 natures'!AU129</f>
        <v>79832.649999999994</v>
      </c>
      <c r="AV50" s="135">
        <f>'4.1 Comptes 2023 natures'!AV129</f>
        <v>9660</v>
      </c>
      <c r="AW50" s="135">
        <f>'4.1 Comptes 2023 natures'!AW129</f>
        <v>0</v>
      </c>
      <c r="AX50" s="135">
        <f>'4.1 Comptes 2023 natures'!AX129</f>
        <v>0</v>
      </c>
      <c r="AY50" s="135">
        <f>'4.1 Comptes 2023 natures'!AY129</f>
        <v>0</v>
      </c>
      <c r="AZ50" s="135">
        <f>'4.1 Comptes 2023 natures'!AZ129</f>
        <v>0</v>
      </c>
      <c r="BA50" s="135">
        <f>'4.1 Comptes 2023 natures'!BA129</f>
        <v>0</v>
      </c>
      <c r="BB50" s="135">
        <f>'4.1 Comptes 2023 natures'!BB129</f>
        <v>0</v>
      </c>
      <c r="BC50" s="135">
        <f>'4.1 Comptes 2023 natures'!BC129</f>
        <v>0</v>
      </c>
      <c r="BD50" s="135">
        <f>'4.1 Comptes 2023 natures'!BD129</f>
        <v>2823492.4000000004</v>
      </c>
      <c r="BE50" s="135">
        <f>'4.1 Comptes 2023 natures'!BE129</f>
        <v>0</v>
      </c>
      <c r="BF50" s="135">
        <f>'4.1 Comptes 2023 natures'!BF129</f>
        <v>2682816.8000000003</v>
      </c>
      <c r="BG50" s="135">
        <f>'4.1 Comptes 2023 natures'!BG129</f>
        <v>140675.59999999998</v>
      </c>
    </row>
    <row r="51" spans="1:59" x14ac:dyDescent="0.2">
      <c r="C51" s="8">
        <v>489</v>
      </c>
      <c r="D51" s="8" t="s">
        <v>287</v>
      </c>
      <c r="E51" s="135">
        <f>'4.1 Comptes 2023 natures'!E139</f>
        <v>7472.87</v>
      </c>
      <c r="F51" s="135">
        <f>'4.1 Comptes 2023 natures'!F139</f>
        <v>0</v>
      </c>
      <c r="G51" s="135">
        <f>'4.1 Comptes 2023 natures'!G139</f>
        <v>0</v>
      </c>
      <c r="H51" s="135">
        <f>'4.1 Comptes 2023 natures'!H139</f>
        <v>2572.4499999999998</v>
      </c>
      <c r="I51" s="135">
        <f>'4.1 Comptes 2023 natures'!I139</f>
        <v>164654.79999999999</v>
      </c>
      <c r="J51" s="135">
        <f>'4.1 Comptes 2023 natures'!J139</f>
        <v>0</v>
      </c>
      <c r="K51" s="135">
        <f>'4.1 Comptes 2023 natures'!K139</f>
        <v>14467.75</v>
      </c>
      <c r="L51" s="135">
        <f>'4.1 Comptes 2023 natures'!L139</f>
        <v>1253909</v>
      </c>
      <c r="M51" s="135">
        <f>'4.1 Comptes 2023 natures'!M139</f>
        <v>10700</v>
      </c>
      <c r="N51" s="135">
        <f>'4.1 Comptes 2023 natures'!N139</f>
        <v>0</v>
      </c>
      <c r="O51" s="135">
        <f>'4.1 Comptes 2023 natures'!O139</f>
        <v>413099.54</v>
      </c>
      <c r="P51" s="135">
        <f>'4.1 Comptes 2023 natures'!P139</f>
        <v>3001.3</v>
      </c>
      <c r="Q51" s="135">
        <f>'4.1 Comptes 2023 natures'!Q139</f>
        <v>0</v>
      </c>
      <c r="R51" s="135">
        <f>'4.1 Comptes 2023 natures'!R139</f>
        <v>0</v>
      </c>
      <c r="S51" s="135">
        <f>'4.1 Comptes 2023 natures'!S139</f>
        <v>0</v>
      </c>
      <c r="T51" s="135">
        <f>'4.1 Comptes 2023 natures'!T139</f>
        <v>8700</v>
      </c>
      <c r="U51" s="135">
        <f>'4.1 Comptes 2023 natures'!U139</f>
        <v>667.55</v>
      </c>
      <c r="V51" s="135">
        <f>'4.1 Comptes 2023 natures'!V139</f>
        <v>0</v>
      </c>
      <c r="W51" s="135">
        <f>'4.1 Comptes 2023 natures'!W139</f>
        <v>13302.8</v>
      </c>
      <c r="X51" s="135">
        <f>'4.1 Comptes 2023 natures'!X139</f>
        <v>0</v>
      </c>
      <c r="Y51" s="135">
        <f>'4.1 Comptes 2023 natures'!Y139</f>
        <v>0</v>
      </c>
      <c r="Z51" s="135">
        <f>'4.1 Comptes 2023 natures'!Z139</f>
        <v>0</v>
      </c>
      <c r="AA51" s="135">
        <f>'4.1 Comptes 2023 natures'!AA139</f>
        <v>0</v>
      </c>
      <c r="AB51" s="135">
        <f>'4.1 Comptes 2023 natures'!AB139</f>
        <v>0</v>
      </c>
      <c r="AC51" s="135">
        <f>'4.1 Comptes 2023 natures'!AC139</f>
        <v>0</v>
      </c>
      <c r="AD51" s="135">
        <f>'4.1 Comptes 2023 natures'!AD139</f>
        <v>0</v>
      </c>
      <c r="AE51" s="135">
        <f>'4.1 Comptes 2023 natures'!AE139</f>
        <v>0</v>
      </c>
      <c r="AF51" s="135">
        <f>'4.1 Comptes 2023 natures'!AF139</f>
        <v>0</v>
      </c>
      <c r="AG51" s="135">
        <f>'4.1 Comptes 2023 natures'!AG139</f>
        <v>0</v>
      </c>
      <c r="AH51" s="135">
        <f>'4.1 Comptes 2023 natures'!AH139</f>
        <v>0</v>
      </c>
      <c r="AI51" s="135">
        <f>'4.1 Comptes 2023 natures'!AI139</f>
        <v>0</v>
      </c>
      <c r="AJ51" s="135">
        <f>'4.1 Comptes 2023 natures'!AJ139</f>
        <v>0</v>
      </c>
      <c r="AK51" s="135">
        <f>'4.1 Comptes 2023 natures'!AK139</f>
        <v>0</v>
      </c>
      <c r="AL51" s="135">
        <f>'4.1 Comptes 2023 natures'!AL139</f>
        <v>0</v>
      </c>
      <c r="AM51" s="135">
        <f>'4.1 Comptes 2023 natures'!AM139</f>
        <v>0</v>
      </c>
      <c r="AN51" s="135">
        <f>'4.1 Comptes 2023 natures'!AN139</f>
        <v>0</v>
      </c>
      <c r="AO51" s="135">
        <f>'4.1 Comptes 2023 natures'!AO139</f>
        <v>607</v>
      </c>
      <c r="AP51" s="135">
        <f>'4.1 Comptes 2023 natures'!AP139</f>
        <v>567</v>
      </c>
      <c r="AQ51" s="135">
        <f>'4.1 Comptes 2023 natures'!AQ139</f>
        <v>0</v>
      </c>
      <c r="AR51" s="135">
        <f>'4.1 Comptes 2023 natures'!AR139</f>
        <v>422</v>
      </c>
      <c r="AS51" s="135">
        <f>'4.1 Comptes 2023 natures'!AS139</f>
        <v>0</v>
      </c>
      <c r="AT51" s="135">
        <f>'4.1 Comptes 2023 natures'!AT139</f>
        <v>0</v>
      </c>
      <c r="AU51" s="135">
        <f>'4.1 Comptes 2023 natures'!AU139</f>
        <v>0</v>
      </c>
      <c r="AV51" s="135">
        <f>'4.1 Comptes 2023 natures'!AV139</f>
        <v>633</v>
      </c>
      <c r="AW51" s="135">
        <f>'4.1 Comptes 2023 natures'!AW139</f>
        <v>442</v>
      </c>
      <c r="AX51" s="135">
        <f>'4.1 Comptes 2023 natures'!AX139</f>
        <v>311</v>
      </c>
      <c r="AY51" s="135">
        <f>'4.1 Comptes 2023 natures'!AY139</f>
        <v>1597</v>
      </c>
      <c r="AZ51" s="135">
        <f>'4.1 Comptes 2023 natures'!AZ139</f>
        <v>319</v>
      </c>
      <c r="BA51" s="135">
        <f>'4.1 Comptes 2023 natures'!BA139</f>
        <v>1083.4000000000001</v>
      </c>
      <c r="BB51" s="135">
        <f>'4.1 Comptes 2023 natures'!BB139</f>
        <v>0</v>
      </c>
      <c r="BC51" s="135">
        <f>'4.1 Comptes 2023 natures'!BC139</f>
        <v>590</v>
      </c>
      <c r="BD51" s="135">
        <f>'4.1 Comptes 2023 natures'!BD139</f>
        <v>1899119.4600000002</v>
      </c>
      <c r="BE51" s="135">
        <f>'4.1 Comptes 2023 natures'!BE139</f>
        <v>1892548.0600000003</v>
      </c>
      <c r="BF51" s="135">
        <f>'4.1 Comptes 2023 natures'!BF139</f>
        <v>0</v>
      </c>
      <c r="BG51" s="135">
        <f>'4.1 Comptes 2023 natures'!BG139</f>
        <v>6571.4</v>
      </c>
    </row>
    <row r="52" spans="1:59" x14ac:dyDescent="0.2">
      <c r="C52" s="8">
        <v>4896</v>
      </c>
      <c r="D52" s="8" t="s">
        <v>569</v>
      </c>
      <c r="E52" s="19">
        <f>'4.1 Comptes 2023 natures'!E187</f>
        <v>0</v>
      </c>
      <c r="F52" s="19">
        <f>'4.1 Comptes 2023 natures'!F187</f>
        <v>0</v>
      </c>
      <c r="G52" s="19">
        <f>'4.1 Comptes 2023 natures'!G187</f>
        <v>0</v>
      </c>
      <c r="H52" s="19">
        <f>'4.1 Comptes 2023 natures'!H187</f>
        <v>0</v>
      </c>
      <c r="I52" s="19">
        <f>'4.1 Comptes 2023 natures'!I187</f>
        <v>164654.79999999999</v>
      </c>
      <c r="J52" s="19">
        <f>'4.1 Comptes 2023 natures'!J187</f>
        <v>0</v>
      </c>
      <c r="K52" s="19">
        <f>'4.1 Comptes 2023 natures'!K187</f>
        <v>0</v>
      </c>
      <c r="L52" s="19">
        <f>'4.1 Comptes 2023 natures'!L187</f>
        <v>0</v>
      </c>
      <c r="M52" s="19">
        <f>'4.1 Comptes 2023 natures'!M187</f>
        <v>0</v>
      </c>
      <c r="N52" s="19">
        <f>'4.1 Comptes 2023 natures'!N187</f>
        <v>0</v>
      </c>
      <c r="O52" s="19">
        <f>'4.1 Comptes 2023 natures'!O187</f>
        <v>63099.54</v>
      </c>
      <c r="P52" s="19">
        <f>'4.1 Comptes 2023 natures'!P187</f>
        <v>0</v>
      </c>
      <c r="Q52" s="19">
        <f>'4.1 Comptes 2023 natures'!Q187</f>
        <v>0</v>
      </c>
      <c r="R52" s="19">
        <f>'4.1 Comptes 2023 natures'!R187</f>
        <v>0</v>
      </c>
      <c r="S52" s="19">
        <f>'4.1 Comptes 2023 natures'!S187</f>
        <v>0</v>
      </c>
      <c r="T52" s="19">
        <f>'4.1 Comptes 2023 natures'!T187</f>
        <v>0</v>
      </c>
      <c r="U52" s="19">
        <f>'4.1 Comptes 2023 natures'!U187</f>
        <v>0</v>
      </c>
      <c r="V52" s="19">
        <f>'4.1 Comptes 2023 natures'!V187</f>
        <v>0</v>
      </c>
      <c r="W52" s="19">
        <f>'4.1 Comptes 2023 natures'!W187</f>
        <v>0</v>
      </c>
      <c r="X52" s="19">
        <f>'4.1 Comptes 2023 natures'!X187</f>
        <v>0</v>
      </c>
      <c r="Y52" s="19">
        <f>'4.1 Comptes 2023 natures'!Y187</f>
        <v>0</v>
      </c>
      <c r="Z52" s="19">
        <f>'4.1 Comptes 2023 natures'!Z187</f>
        <v>0</v>
      </c>
      <c r="AA52" s="19">
        <f>'4.1 Comptes 2023 natures'!AA187</f>
        <v>0</v>
      </c>
      <c r="AB52" s="19">
        <f>'4.1 Comptes 2023 natures'!AB187</f>
        <v>0</v>
      </c>
      <c r="AC52" s="19">
        <f>'4.1 Comptes 2023 natures'!AC187</f>
        <v>0</v>
      </c>
      <c r="AD52" s="19">
        <f>'4.1 Comptes 2023 natures'!AD187</f>
        <v>0</v>
      </c>
      <c r="AE52" s="19">
        <f>'4.1 Comptes 2023 natures'!AE187</f>
        <v>0</v>
      </c>
      <c r="AF52" s="19">
        <f>'4.1 Comptes 2023 natures'!AF187</f>
        <v>0</v>
      </c>
      <c r="AG52" s="19">
        <f>'4.1 Comptes 2023 natures'!AG187</f>
        <v>0</v>
      </c>
      <c r="AH52" s="19">
        <f>'4.1 Comptes 2023 natures'!AH187</f>
        <v>0</v>
      </c>
      <c r="AI52" s="19">
        <f>'4.1 Comptes 2023 natures'!AI187</f>
        <v>0</v>
      </c>
      <c r="AJ52" s="19">
        <f>'4.1 Comptes 2023 natures'!AJ187</f>
        <v>0</v>
      </c>
      <c r="AK52" s="19">
        <f>'4.1 Comptes 2023 natures'!AK187</f>
        <v>0</v>
      </c>
      <c r="AL52" s="19">
        <f>'4.1 Comptes 2023 natures'!AL187</f>
        <v>0</v>
      </c>
      <c r="AM52" s="19">
        <f>'4.1 Comptes 2023 natures'!AM187</f>
        <v>0</v>
      </c>
      <c r="AN52" s="19">
        <f>'4.1 Comptes 2023 natures'!AN187</f>
        <v>0</v>
      </c>
      <c r="AO52" s="19">
        <f>'4.1 Comptes 2023 natures'!AO187</f>
        <v>0</v>
      </c>
      <c r="AP52" s="19">
        <f>'4.1 Comptes 2023 natures'!AP187</f>
        <v>0</v>
      </c>
      <c r="AQ52" s="19">
        <f>'4.1 Comptes 2023 natures'!AQ187</f>
        <v>0</v>
      </c>
      <c r="AR52" s="19">
        <f>'4.1 Comptes 2023 natures'!AR187</f>
        <v>0</v>
      </c>
      <c r="AS52" s="19">
        <f>'4.1 Comptes 2023 natures'!AS187</f>
        <v>0</v>
      </c>
      <c r="AT52" s="19">
        <f>'4.1 Comptes 2023 natures'!AT187</f>
        <v>0</v>
      </c>
      <c r="AU52" s="19">
        <f>'4.1 Comptes 2023 natures'!AU187</f>
        <v>0</v>
      </c>
      <c r="AV52" s="19">
        <f>'4.1 Comptes 2023 natures'!AV187</f>
        <v>633</v>
      </c>
      <c r="AW52" s="19">
        <f>'4.1 Comptes 2023 natures'!AW187</f>
        <v>0</v>
      </c>
      <c r="AX52" s="19">
        <f>'4.1 Comptes 2023 natures'!AX187</f>
        <v>0</v>
      </c>
      <c r="AY52" s="19">
        <f>'4.1 Comptes 2023 natures'!AY187</f>
        <v>0</v>
      </c>
      <c r="AZ52" s="19">
        <f>'4.1 Comptes 2023 natures'!AZ187</f>
        <v>0</v>
      </c>
      <c r="BA52" s="19">
        <f>'4.1 Comptes 2023 natures'!BA187</f>
        <v>0</v>
      </c>
      <c r="BB52" s="19">
        <f>'4.1 Comptes 2023 natures'!BB187</f>
        <v>0</v>
      </c>
      <c r="BC52" s="19">
        <f>'4.1 Comptes 2023 natures'!BC187</f>
        <v>0</v>
      </c>
      <c r="BD52" s="19">
        <f>'4.1 Comptes 2023 natures'!BD187</f>
        <v>228387.34</v>
      </c>
      <c r="BE52" s="19">
        <f>'4.1 Comptes 2023 natures'!BE187</f>
        <v>227754.34</v>
      </c>
      <c r="BF52" s="19">
        <f>'4.1 Comptes 2023 natures'!BF187</f>
        <v>0</v>
      </c>
      <c r="BG52" s="19">
        <f>'4.1 Comptes 2023 natures'!BG187</f>
        <v>633</v>
      </c>
    </row>
    <row r="53" spans="1:59" x14ac:dyDescent="0.2">
      <c r="C53" s="8">
        <v>49</v>
      </c>
      <c r="D53" s="8" t="s">
        <v>124</v>
      </c>
      <c r="E53" s="19">
        <f>'4.1 Comptes 2023 natures'!E141</f>
        <v>0</v>
      </c>
      <c r="F53" s="19">
        <f>'4.1 Comptes 2023 natures'!F141</f>
        <v>27370.260000000002</v>
      </c>
      <c r="G53" s="19">
        <f>'4.1 Comptes 2023 natures'!G141</f>
        <v>6509.25</v>
      </c>
      <c r="H53" s="19">
        <f>'4.1 Comptes 2023 natures'!H141</f>
        <v>55508.800000000003</v>
      </c>
      <c r="I53" s="19">
        <f>'4.1 Comptes 2023 natures'!I141</f>
        <v>319450</v>
      </c>
      <c r="J53" s="19">
        <f>'4.1 Comptes 2023 natures'!J141</f>
        <v>91570</v>
      </c>
      <c r="K53" s="19">
        <f>'4.1 Comptes 2023 natures'!K141</f>
        <v>216161.1</v>
      </c>
      <c r="L53" s="19">
        <f>'4.1 Comptes 2023 natures'!L141</f>
        <v>5081197.18</v>
      </c>
      <c r="M53" s="19">
        <f>'4.1 Comptes 2023 natures'!M141</f>
        <v>91691.56</v>
      </c>
      <c r="N53" s="19">
        <f>'4.1 Comptes 2023 natures'!N141</f>
        <v>9236.35</v>
      </c>
      <c r="O53" s="19">
        <f>'4.1 Comptes 2023 natures'!O141</f>
        <v>317089.40000000002</v>
      </c>
      <c r="P53" s="19">
        <f>'4.1 Comptes 2023 natures'!P141</f>
        <v>13217.6</v>
      </c>
      <c r="Q53" s="19">
        <f>'4.1 Comptes 2023 natures'!Q141</f>
        <v>0</v>
      </c>
      <c r="R53" s="19">
        <f>'4.1 Comptes 2023 natures'!R141</f>
        <v>69791.649999999994</v>
      </c>
      <c r="S53" s="19">
        <f>'4.1 Comptes 2023 natures'!S141</f>
        <v>0</v>
      </c>
      <c r="T53" s="19">
        <f>'4.1 Comptes 2023 natures'!T141</f>
        <v>0</v>
      </c>
      <c r="U53" s="19">
        <f>'4.1 Comptes 2023 natures'!U141</f>
        <v>0</v>
      </c>
      <c r="V53" s="19">
        <f>'4.1 Comptes 2023 natures'!V141</f>
        <v>73000</v>
      </c>
      <c r="W53" s="19">
        <f>'4.1 Comptes 2023 natures'!W141</f>
        <v>118800</v>
      </c>
      <c r="X53" s="19">
        <f>'4.1 Comptes 2023 natures'!X141</f>
        <v>0</v>
      </c>
      <c r="Y53" s="19">
        <f>'4.1 Comptes 2023 natures'!Y141</f>
        <v>0</v>
      </c>
      <c r="Z53" s="19">
        <f>'4.1 Comptes 2023 natures'!Z141</f>
        <v>551427</v>
      </c>
      <c r="AA53" s="19">
        <f>'4.1 Comptes 2023 natures'!AA141</f>
        <v>0</v>
      </c>
      <c r="AB53" s="19">
        <f>'4.1 Comptes 2023 natures'!AB141</f>
        <v>0</v>
      </c>
      <c r="AC53" s="19">
        <f>'4.1 Comptes 2023 natures'!AC141</f>
        <v>44455.9</v>
      </c>
      <c r="AD53" s="19">
        <f>'4.1 Comptes 2023 natures'!AD141</f>
        <v>11819</v>
      </c>
      <c r="AE53" s="19">
        <f>'4.1 Comptes 2023 natures'!AE141</f>
        <v>105587.15</v>
      </c>
      <c r="AF53" s="19">
        <f>'4.1 Comptes 2023 natures'!AF141</f>
        <v>14579.45</v>
      </c>
      <c r="AG53" s="19">
        <f>'4.1 Comptes 2023 natures'!AG141</f>
        <v>30900</v>
      </c>
      <c r="AH53" s="19">
        <f>'4.1 Comptes 2023 natures'!AH141</f>
        <v>0</v>
      </c>
      <c r="AI53" s="19">
        <f>'4.1 Comptes 2023 natures'!AI141</f>
        <v>0</v>
      </c>
      <c r="AJ53" s="19">
        <f>'4.1 Comptes 2023 natures'!AJ141</f>
        <v>93000</v>
      </c>
      <c r="AK53" s="19">
        <f>'4.1 Comptes 2023 natures'!AK141</f>
        <v>56246.85</v>
      </c>
      <c r="AL53" s="19">
        <f>'4.1 Comptes 2023 natures'!AL141</f>
        <v>2993.7</v>
      </c>
      <c r="AM53" s="19">
        <f>'4.1 Comptes 2023 natures'!AM141</f>
        <v>11541.94</v>
      </c>
      <c r="AN53" s="19">
        <f>'4.1 Comptes 2023 natures'!AN141</f>
        <v>37093.449999999997</v>
      </c>
      <c r="AO53" s="19">
        <f>'4.1 Comptes 2023 natures'!AO141</f>
        <v>98947.05</v>
      </c>
      <c r="AP53" s="19">
        <f>'4.1 Comptes 2023 natures'!AP141</f>
        <v>0</v>
      </c>
      <c r="AQ53" s="19">
        <f>'4.1 Comptes 2023 natures'!AQ141</f>
        <v>0</v>
      </c>
      <c r="AR53" s="19">
        <f>'4.1 Comptes 2023 natures'!AR141</f>
        <v>50915.37</v>
      </c>
      <c r="AS53" s="19">
        <f>'4.1 Comptes 2023 natures'!AS141</f>
        <v>53582.2</v>
      </c>
      <c r="AT53" s="19">
        <f>'4.1 Comptes 2023 natures'!AT141</f>
        <v>2000</v>
      </c>
      <c r="AU53" s="19">
        <f>'4.1 Comptes 2023 natures'!AU141</f>
        <v>136589.6</v>
      </c>
      <c r="AV53" s="19">
        <f>'4.1 Comptes 2023 natures'!AV141</f>
        <v>0</v>
      </c>
      <c r="AW53" s="19">
        <f>'4.1 Comptes 2023 natures'!AW141</f>
        <v>7519.65</v>
      </c>
      <c r="AX53" s="19">
        <f>'4.1 Comptes 2023 natures'!AX141</f>
        <v>0</v>
      </c>
      <c r="AY53" s="19">
        <f>'4.1 Comptes 2023 natures'!AY141</f>
        <v>108882.25</v>
      </c>
      <c r="AZ53" s="19">
        <f>'4.1 Comptes 2023 natures'!AZ141</f>
        <v>0</v>
      </c>
      <c r="BA53" s="19">
        <f>'4.1 Comptes 2023 natures'!BA141</f>
        <v>47620.45</v>
      </c>
      <c r="BB53" s="19">
        <f>'4.1 Comptes 2023 natures'!BB141</f>
        <v>0</v>
      </c>
      <c r="BC53" s="19">
        <f>'4.1 Comptes 2023 natures'!BC141</f>
        <v>15500</v>
      </c>
      <c r="BD53" s="19">
        <f>'4.1 Comptes 2023 natures'!BD141</f>
        <v>7971794.1600000001</v>
      </c>
      <c r="BE53" s="19">
        <f>'4.1 Comptes 2023 natures'!BE141</f>
        <v>6490593.1499999994</v>
      </c>
      <c r="BF53" s="19">
        <f>'4.1 Comptes 2023 natures'!BF141</f>
        <v>758768.5</v>
      </c>
      <c r="BG53" s="19">
        <f>'4.1 Comptes 2023 natures'!BG141</f>
        <v>722432.51</v>
      </c>
    </row>
    <row r="54" spans="1:59" ht="15" x14ac:dyDescent="0.25">
      <c r="C54" s="8">
        <v>90</v>
      </c>
      <c r="D54" s="8" t="s">
        <v>825</v>
      </c>
      <c r="E54" s="19">
        <f>'4.1 Comptes 2023 natures'!E154</f>
        <v>297580.15000000002</v>
      </c>
      <c r="F54" s="19">
        <f>'4.1 Comptes 2023 natures'!F154</f>
        <v>166436.57</v>
      </c>
      <c r="G54" s="19">
        <f>'4.1 Comptes 2023 natures'!G154</f>
        <v>111420.26999999999</v>
      </c>
      <c r="H54" s="19">
        <f>'4.1 Comptes 2023 natures'!H154</f>
        <v>123375.72999999998</v>
      </c>
      <c r="I54" s="19">
        <f>'4.1 Comptes 2023 natures'!I154</f>
        <v>157637.65</v>
      </c>
      <c r="J54" s="19">
        <f>'4.1 Comptes 2023 natures'!J154</f>
        <v>276986.37</v>
      </c>
      <c r="K54" s="19">
        <f>'4.1 Comptes 2023 natures'!K154</f>
        <v>44346.45</v>
      </c>
      <c r="L54" s="19">
        <f>'4.1 Comptes 2023 natures'!L154</f>
        <v>-917826.7100000002</v>
      </c>
      <c r="M54" s="19">
        <f>'4.1 Comptes 2023 natures'!M154</f>
        <v>236485.23</v>
      </c>
      <c r="N54" s="19">
        <f>'4.1 Comptes 2023 natures'!N154</f>
        <v>-10368.879999999999</v>
      </c>
      <c r="O54" s="19">
        <f>'4.1 Comptes 2023 natures'!O154</f>
        <v>-386596.60000000003</v>
      </c>
      <c r="P54" s="19">
        <f>'4.1 Comptes 2023 natures'!P154</f>
        <v>194677.5</v>
      </c>
      <c r="Q54" s="19">
        <f>'4.1 Comptes 2023 natures'!Q154</f>
        <v>-15844.460000000003</v>
      </c>
      <c r="R54" s="19">
        <f>'4.1 Comptes 2023 natures'!R154</f>
        <v>2715.8899999999994</v>
      </c>
      <c r="S54" s="19">
        <f>'4.1 Comptes 2023 natures'!S154</f>
        <v>-63378.66</v>
      </c>
      <c r="T54" s="19">
        <f>'4.1 Comptes 2023 natures'!T154</f>
        <v>119770.75</v>
      </c>
      <c r="U54" s="19">
        <f>'4.1 Comptes 2023 natures'!U154</f>
        <v>28612.840000000004</v>
      </c>
      <c r="V54" s="19">
        <f>'4.1 Comptes 2023 natures'!V154</f>
        <v>53215.43</v>
      </c>
      <c r="W54" s="19">
        <f>'4.1 Comptes 2023 natures'!W154</f>
        <v>168872.27</v>
      </c>
      <c r="X54" s="19">
        <f>'4.1 Comptes 2023 natures'!X154</f>
        <v>59136.47</v>
      </c>
      <c r="Y54" s="19">
        <f>'4.1 Comptes 2023 natures'!Y154</f>
        <v>1087112.6300000001</v>
      </c>
      <c r="Z54" s="19">
        <f>'4.1 Comptes 2023 natures'!Z154</f>
        <v>2677168.89</v>
      </c>
      <c r="AA54" s="19">
        <f>'4.1 Comptes 2023 natures'!AA154</f>
        <v>15628.250000000002</v>
      </c>
      <c r="AB54" s="19">
        <f>'4.1 Comptes 2023 natures'!AB154</f>
        <v>-260378.03</v>
      </c>
      <c r="AC54" s="19">
        <f>'4.1 Comptes 2023 natures'!AC154</f>
        <v>11165.65</v>
      </c>
      <c r="AD54" s="19">
        <f>'4.1 Comptes 2023 natures'!AD154</f>
        <v>-16548.329999999998</v>
      </c>
      <c r="AE54" s="19">
        <f>'4.1 Comptes 2023 natures'!AE154</f>
        <v>78627.399999999994</v>
      </c>
      <c r="AF54" s="19">
        <f>'4.1 Comptes 2023 natures'!AF154</f>
        <v>1738725.46</v>
      </c>
      <c r="AG54" s="19">
        <f>'4.1 Comptes 2023 natures'!AG154</f>
        <v>577199.21</v>
      </c>
      <c r="AH54" s="19">
        <f>'4.1 Comptes 2023 natures'!AH154</f>
        <v>46554.49</v>
      </c>
      <c r="AI54" s="19">
        <f>'4.1 Comptes 2023 natures'!AI154</f>
        <v>105014.54</v>
      </c>
      <c r="AJ54" s="19">
        <f>'4.1 Comptes 2023 natures'!AJ154</f>
        <v>277222.27</v>
      </c>
      <c r="AK54" s="19">
        <f>'4.1 Comptes 2023 natures'!AK154</f>
        <v>18943.25</v>
      </c>
      <c r="AL54" s="19">
        <f>'4.1 Comptes 2023 natures'!AL154</f>
        <v>73198</v>
      </c>
      <c r="AM54" s="19">
        <f>'4.1 Comptes 2023 natures'!AM154</f>
        <v>-27239.480000000003</v>
      </c>
      <c r="AN54" s="19">
        <f>'4.1 Comptes 2023 natures'!AN154</f>
        <v>16790.869999999995</v>
      </c>
      <c r="AO54" s="19">
        <f>'4.1 Comptes 2023 natures'!AO154</f>
        <v>-467314.68</v>
      </c>
      <c r="AP54" s="19">
        <f>'4.1 Comptes 2023 natures'!AP154</f>
        <v>56336</v>
      </c>
      <c r="AQ54" s="19">
        <f>'4.1 Comptes 2023 natures'!AQ154</f>
        <v>113170.76</v>
      </c>
      <c r="AR54" s="19">
        <f>'4.1 Comptes 2023 natures'!AR154</f>
        <v>-171344.34</v>
      </c>
      <c r="AS54" s="19">
        <f>'4.1 Comptes 2023 natures'!AS154</f>
        <v>52413.51999999999</v>
      </c>
      <c r="AT54" s="19">
        <f>'4.1 Comptes 2023 natures'!AT154</f>
        <v>277298.86000000004</v>
      </c>
      <c r="AU54" s="19">
        <f>'4.1 Comptes 2023 natures'!AU154</f>
        <v>-160977.5</v>
      </c>
      <c r="AV54" s="19">
        <f>'4.1 Comptes 2023 natures'!AV154</f>
        <v>44645.22</v>
      </c>
      <c r="AW54" s="19">
        <f>'4.1 Comptes 2023 natures'!AW154</f>
        <v>435217.72000000003</v>
      </c>
      <c r="AX54" s="19">
        <f>'4.1 Comptes 2023 natures'!AX154</f>
        <v>-28207.760000000002</v>
      </c>
      <c r="AY54" s="19">
        <f>'4.1 Comptes 2023 natures'!AY154</f>
        <v>77645.3</v>
      </c>
      <c r="AZ54" s="19">
        <f>'4.1 Comptes 2023 natures'!AZ154</f>
        <v>6331.16</v>
      </c>
      <c r="BA54" s="19">
        <f>'4.1 Comptes 2023 natures'!BA154</f>
        <v>56246.89</v>
      </c>
      <c r="BB54" s="19">
        <f>'4.1 Comptes 2023 natures'!BB154</f>
        <v>-162273.97999999998</v>
      </c>
      <c r="BC54" s="19">
        <f>'4.1 Comptes 2023 natures'!BC154</f>
        <v>108852.26999999999</v>
      </c>
      <c r="BD54" s="19">
        <f>'4.1 Comptes 2023 natures'!BD154</f>
        <v>7304478.7700000005</v>
      </c>
      <c r="BE54" s="19">
        <f>'4.1 Comptes 2023 natures'!BE154</f>
        <v>588117.79</v>
      </c>
      <c r="BF54" s="19">
        <f>'4.1 Comptes 2023 natures'!BF154</f>
        <v>6119406.6300000008</v>
      </c>
      <c r="BG54" s="19">
        <f>'4.1 Comptes 2023 natures'!BG154</f>
        <v>596954.35</v>
      </c>
    </row>
    <row r="55" spans="1:59" ht="15" x14ac:dyDescent="0.25">
      <c r="C55" s="8">
        <v>9029</v>
      </c>
      <c r="D55" s="8" t="s">
        <v>826</v>
      </c>
      <c r="E55" s="19">
        <f>'4.1 Comptes 2023 natures'!E191</f>
        <v>0</v>
      </c>
      <c r="F55" s="19">
        <f>'4.1 Comptes 2023 natures'!F191</f>
        <v>0</v>
      </c>
      <c r="G55" s="19">
        <f>'4.1 Comptes 2023 natures'!G191</f>
        <v>0</v>
      </c>
      <c r="H55" s="19">
        <f>'4.1 Comptes 2023 natures'!H191</f>
        <v>0</v>
      </c>
      <c r="I55" s="19">
        <f>'4.1 Comptes 2023 natures'!I191</f>
        <v>0</v>
      </c>
      <c r="J55" s="19">
        <f>'4.1 Comptes 2023 natures'!J191</f>
        <v>0</v>
      </c>
      <c r="K55" s="19">
        <f>'4.1 Comptes 2023 natures'!K191</f>
        <v>0</v>
      </c>
      <c r="L55" s="19">
        <f>'4.1 Comptes 2023 natures'!L191</f>
        <v>0</v>
      </c>
      <c r="M55" s="19">
        <f>'4.1 Comptes 2023 natures'!M191</f>
        <v>0</v>
      </c>
      <c r="N55" s="19">
        <f>'4.1 Comptes 2023 natures'!N191</f>
        <v>0</v>
      </c>
      <c r="O55" s="19">
        <f>'4.1 Comptes 2023 natures'!O191</f>
        <v>0</v>
      </c>
      <c r="P55" s="19">
        <f>'4.1 Comptes 2023 natures'!P191</f>
        <v>0</v>
      </c>
      <c r="Q55" s="19">
        <f>'4.1 Comptes 2023 natures'!Q191</f>
        <v>0</v>
      </c>
      <c r="R55" s="19">
        <f>'4.1 Comptes 2023 natures'!R191</f>
        <v>0</v>
      </c>
      <c r="S55" s="19">
        <f>'4.1 Comptes 2023 natures'!S191</f>
        <v>0</v>
      </c>
      <c r="T55" s="19">
        <f>'4.1 Comptes 2023 natures'!T191</f>
        <v>0</v>
      </c>
      <c r="U55" s="19">
        <f>'4.1 Comptes 2023 natures'!U191</f>
        <v>0</v>
      </c>
      <c r="V55" s="19">
        <f>'4.1 Comptes 2023 natures'!V191</f>
        <v>0</v>
      </c>
      <c r="W55" s="19">
        <f>'4.1 Comptes 2023 natures'!W191</f>
        <v>0</v>
      </c>
      <c r="X55" s="19">
        <f>'4.1 Comptes 2023 natures'!X191</f>
        <v>0</v>
      </c>
      <c r="Y55" s="19">
        <f>'4.1 Comptes 2023 natures'!Y191</f>
        <v>0</v>
      </c>
      <c r="Z55" s="19">
        <f>'4.1 Comptes 2023 natures'!Z191</f>
        <v>0</v>
      </c>
      <c r="AA55" s="19">
        <f>'4.1 Comptes 2023 natures'!AA191</f>
        <v>0</v>
      </c>
      <c r="AB55" s="19">
        <f>'4.1 Comptes 2023 natures'!AB191</f>
        <v>0</v>
      </c>
      <c r="AC55" s="19">
        <f>'4.1 Comptes 2023 natures'!AC191</f>
        <v>0</v>
      </c>
      <c r="AD55" s="19">
        <f>'4.1 Comptes 2023 natures'!AD191</f>
        <v>0</v>
      </c>
      <c r="AE55" s="19">
        <f>'4.1 Comptes 2023 natures'!AE191</f>
        <v>0</v>
      </c>
      <c r="AF55" s="19">
        <f>'4.1 Comptes 2023 natures'!AF191</f>
        <v>0</v>
      </c>
      <c r="AG55" s="19">
        <f>'4.1 Comptes 2023 natures'!AG191</f>
        <v>0</v>
      </c>
      <c r="AH55" s="19">
        <f>'4.1 Comptes 2023 natures'!AH191</f>
        <v>0</v>
      </c>
      <c r="AI55" s="19">
        <f>'4.1 Comptes 2023 natures'!AI191</f>
        <v>0</v>
      </c>
      <c r="AJ55" s="19">
        <f>'4.1 Comptes 2023 natures'!AJ191</f>
        <v>0</v>
      </c>
      <c r="AK55" s="19">
        <f>'4.1 Comptes 2023 natures'!AK191</f>
        <v>0</v>
      </c>
      <c r="AL55" s="19">
        <f>'4.1 Comptes 2023 natures'!AL191</f>
        <v>0</v>
      </c>
      <c r="AM55" s="19">
        <f>'4.1 Comptes 2023 natures'!AM191</f>
        <v>0</v>
      </c>
      <c r="AN55" s="19">
        <f>'4.1 Comptes 2023 natures'!AN191</f>
        <v>0</v>
      </c>
      <c r="AO55" s="19">
        <f>'4.1 Comptes 2023 natures'!AO191</f>
        <v>0</v>
      </c>
      <c r="AP55" s="19">
        <f>'4.1 Comptes 2023 natures'!AP191</f>
        <v>0</v>
      </c>
      <c r="AQ55" s="19">
        <f>'4.1 Comptes 2023 natures'!AQ191</f>
        <v>0</v>
      </c>
      <c r="AR55" s="19">
        <f>'4.1 Comptes 2023 natures'!AR191</f>
        <v>0</v>
      </c>
      <c r="AS55" s="19">
        <f>'4.1 Comptes 2023 natures'!AS191</f>
        <v>0</v>
      </c>
      <c r="AT55" s="19">
        <f>'4.1 Comptes 2023 natures'!AT191</f>
        <v>0</v>
      </c>
      <c r="AU55" s="19">
        <f>'4.1 Comptes 2023 natures'!AU191</f>
        <v>0</v>
      </c>
      <c r="AV55" s="19">
        <f>'4.1 Comptes 2023 natures'!AV191</f>
        <v>0</v>
      </c>
      <c r="AW55" s="19">
        <f>'4.1 Comptes 2023 natures'!AW191</f>
        <v>0</v>
      </c>
      <c r="AX55" s="19">
        <f>'4.1 Comptes 2023 natures'!AX191</f>
        <v>0</v>
      </c>
      <c r="AY55" s="19">
        <f>'4.1 Comptes 2023 natures'!AY191</f>
        <v>0</v>
      </c>
      <c r="AZ55" s="19">
        <f>'4.1 Comptes 2023 natures'!AZ191</f>
        <v>0</v>
      </c>
      <c r="BA55" s="19">
        <f>'4.1 Comptes 2023 natures'!BA191</f>
        <v>0</v>
      </c>
      <c r="BB55" s="19">
        <f>'4.1 Comptes 2023 natures'!BB191</f>
        <v>0</v>
      </c>
      <c r="BC55" s="19">
        <f>'4.1 Comptes 2023 natures'!BC191</f>
        <v>0</v>
      </c>
      <c r="BD55" s="19">
        <f>'4.1 Comptes 2023 natures'!BD191</f>
        <v>0</v>
      </c>
      <c r="BE55" s="19">
        <f>'4.1 Comptes 2023 natures'!BE191</f>
        <v>0</v>
      </c>
      <c r="BF55" s="19">
        <f>'4.1 Comptes 2023 natures'!BF191</f>
        <v>0</v>
      </c>
      <c r="BG55" s="19">
        <f>'4.1 Comptes 2023 natures'!BG191</f>
        <v>0</v>
      </c>
    </row>
    <row r="56" spans="1:59" x14ac:dyDescent="0.2">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row>
    <row r="57" spans="1:59" ht="20.25" x14ac:dyDescent="0.3">
      <c r="A57" s="25">
        <v>5</v>
      </c>
      <c r="B57" s="25"/>
      <c r="C57" s="25"/>
      <c r="D57" s="25" t="s">
        <v>290</v>
      </c>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c r="AM57" s="214"/>
      <c r="AN57" s="214"/>
      <c r="AO57" s="214"/>
      <c r="AP57" s="214"/>
      <c r="AQ57" s="214"/>
      <c r="AR57" s="214"/>
      <c r="AS57" s="214"/>
      <c r="AT57" s="214"/>
      <c r="AU57" s="214"/>
      <c r="AV57" s="214"/>
      <c r="AW57" s="214"/>
      <c r="AX57" s="214"/>
      <c r="AY57" s="214"/>
      <c r="AZ57" s="214"/>
      <c r="BA57" s="214"/>
      <c r="BB57" s="214"/>
      <c r="BC57" s="214"/>
      <c r="BD57" s="214"/>
      <c r="BE57" s="214"/>
      <c r="BF57" s="214"/>
      <c r="BG57" s="214"/>
    </row>
    <row r="58" spans="1:59" x14ac:dyDescent="0.2">
      <c r="C58" s="8">
        <v>690</v>
      </c>
      <c r="D58" s="8" t="s">
        <v>620</v>
      </c>
      <c r="E58" s="19">
        <f>'6.1 Investissements'!E179</f>
        <v>1771946.56</v>
      </c>
      <c r="F58" s="19">
        <f>'6.1 Investissements'!F179</f>
        <v>65959.149999999994</v>
      </c>
      <c r="G58" s="19">
        <f>'6.1 Investissements'!G179</f>
        <v>39456.93</v>
      </c>
      <c r="H58" s="19">
        <f>'6.1 Investissements'!H179</f>
        <v>41883.599999999999</v>
      </c>
      <c r="I58" s="19">
        <f>'6.1 Investissements'!I179</f>
        <v>5993855.8399999999</v>
      </c>
      <c r="J58" s="19">
        <f>'6.1 Investissements'!J179</f>
        <v>1194129.75</v>
      </c>
      <c r="K58" s="19">
        <f>'6.1 Investissements'!K179</f>
        <v>1533433.82</v>
      </c>
      <c r="L58" s="19">
        <f>'6.1 Investissements'!L179</f>
        <v>14731209.189999999</v>
      </c>
      <c r="M58" s="19">
        <f>'6.1 Investissements'!M179</f>
        <v>2257839.25</v>
      </c>
      <c r="N58" s="19">
        <f>'6.1 Investissements'!N179</f>
        <v>41267.75</v>
      </c>
      <c r="O58" s="19">
        <f>'6.1 Investissements'!O179</f>
        <v>5871184.3700000001</v>
      </c>
      <c r="P58" s="19">
        <f>'6.1 Investissements'!P179</f>
        <v>81241.62</v>
      </c>
      <c r="Q58" s="19">
        <f>'6.1 Investissements'!Q179</f>
        <v>26121.05</v>
      </c>
      <c r="R58" s="19">
        <f>'6.1 Investissements'!R179</f>
        <v>571739.03</v>
      </c>
      <c r="S58" s="19">
        <f>'6.1 Investissements'!S179</f>
        <v>18747.150000000001</v>
      </c>
      <c r="T58" s="19">
        <f>'6.1 Investissements'!T179</f>
        <v>40075.75</v>
      </c>
      <c r="U58" s="19">
        <f>'6.1 Investissements'!U179</f>
        <v>98779.16</v>
      </c>
      <c r="V58" s="19">
        <f>'6.1 Investissements'!V179</f>
        <v>13524.55</v>
      </c>
      <c r="W58" s="19">
        <f>'6.1 Investissements'!W179</f>
        <v>1792479.95</v>
      </c>
      <c r="X58" s="19">
        <f>'6.1 Investissements'!X179</f>
        <v>85627.8</v>
      </c>
      <c r="Y58" s="19">
        <f>'6.1 Investissements'!Y179</f>
        <v>426067.20000000001</v>
      </c>
      <c r="Z58" s="19">
        <f>'6.1 Investissements'!Z179</f>
        <v>1561611.65</v>
      </c>
      <c r="AA58" s="19">
        <f>'6.1 Investissements'!AA179</f>
        <v>181878.45</v>
      </c>
      <c r="AB58" s="19">
        <f>'6.1 Investissements'!AB179</f>
        <v>105748.1</v>
      </c>
      <c r="AC58" s="19">
        <f>'6.1 Investissements'!AC179</f>
        <v>800065.97</v>
      </c>
      <c r="AD58" s="19">
        <f>'6.1 Investissements'!AD179</f>
        <v>189251.4</v>
      </c>
      <c r="AE58" s="19">
        <f>'6.1 Investissements'!AE179</f>
        <v>255971.95</v>
      </c>
      <c r="AF58" s="19">
        <f>'6.1 Investissements'!AF179</f>
        <v>2149930.66</v>
      </c>
      <c r="AG58" s="19">
        <f>'6.1 Investissements'!AG179</f>
        <v>933570.84</v>
      </c>
      <c r="AH58" s="19">
        <f>'6.1 Investissements'!AH179</f>
        <v>245354.91</v>
      </c>
      <c r="AI58" s="19">
        <f>'6.1 Investissements'!AI179</f>
        <v>852018.05</v>
      </c>
      <c r="AJ58" s="19">
        <f>'6.1 Investissements'!AJ179</f>
        <v>614594.05000000005</v>
      </c>
      <c r="AK58" s="19">
        <f>'6.1 Investissements'!AK179</f>
        <v>123521.5</v>
      </c>
      <c r="AL58" s="19">
        <f>'6.1 Investissements'!AL179</f>
        <v>1379072.37</v>
      </c>
      <c r="AM58" s="19">
        <f>'6.1 Investissements'!AM179</f>
        <v>29611.8</v>
      </c>
      <c r="AN58" s="19">
        <f>'6.1 Investissements'!AN179</f>
        <v>1266531.1000000001</v>
      </c>
      <c r="AO58" s="19">
        <f>'6.1 Investissements'!AO179</f>
        <v>254076.55</v>
      </c>
      <c r="AP58" s="19">
        <f>'6.1 Investissements'!AP179</f>
        <v>1121531.47</v>
      </c>
      <c r="AQ58" s="19">
        <f>'6.1 Investissements'!AQ179</f>
        <v>881193.7</v>
      </c>
      <c r="AR58" s="19">
        <f>'6.1 Investissements'!AR179</f>
        <v>359515.8</v>
      </c>
      <c r="AS58" s="19">
        <f>'6.1 Investissements'!AS179</f>
        <v>213352.45</v>
      </c>
      <c r="AT58" s="19">
        <f>'6.1 Investissements'!AT179</f>
        <v>307820.15000000002</v>
      </c>
      <c r="AU58" s="19">
        <f>'6.1 Investissements'!AU179</f>
        <v>2525481.0499999998</v>
      </c>
      <c r="AV58" s="19">
        <f>'6.1 Investissements'!AV179</f>
        <v>428018.12</v>
      </c>
      <c r="AW58" s="19">
        <f>'6.1 Investissements'!AW179</f>
        <v>125702.05</v>
      </c>
      <c r="AX58" s="19">
        <f>'6.1 Investissements'!AX179</f>
        <v>55879.7</v>
      </c>
      <c r="AY58" s="19">
        <f>'6.1 Investissements'!AY179</f>
        <v>662666.80000000005</v>
      </c>
      <c r="AZ58" s="19">
        <f>'6.1 Investissements'!AZ179</f>
        <v>456466.83</v>
      </c>
      <c r="BA58" s="19">
        <f>'6.1 Investissements'!BA179</f>
        <v>395313</v>
      </c>
      <c r="BB58" s="19">
        <f>'6.1 Investissements'!BB179</f>
        <v>5194591.42</v>
      </c>
      <c r="BC58" s="19">
        <f>'6.1 Investissements'!BC179</f>
        <v>531179.6</v>
      </c>
      <c r="BD58" s="19">
        <f>SUM(E58:BC58)</f>
        <v>60898090.959999971</v>
      </c>
      <c r="BE58" s="19">
        <f>SUM(E58:W58)</f>
        <v>36184874.469999991</v>
      </c>
      <c r="BF58" s="19">
        <f>SUM(X58:AI58)</f>
        <v>7787096.9799999995</v>
      </c>
      <c r="BG58" s="19">
        <f>SUM(AJ58:BC58)</f>
        <v>16926119.510000002</v>
      </c>
    </row>
    <row r="59" spans="1:59" x14ac:dyDescent="0.2">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row>
    <row r="60" spans="1:59" ht="20.25" x14ac:dyDescent="0.3">
      <c r="A60" s="26">
        <v>6</v>
      </c>
      <c r="B60" s="26"/>
      <c r="C60" s="26"/>
      <c r="D60" s="26" t="s">
        <v>291</v>
      </c>
      <c r="E60" s="215"/>
      <c r="F60" s="215"/>
      <c r="G60" s="215"/>
      <c r="H60" s="215"/>
      <c r="I60" s="215"/>
      <c r="J60" s="215"/>
      <c r="K60" s="215"/>
      <c r="L60" s="215"/>
      <c r="M60" s="215"/>
      <c r="N60" s="215"/>
      <c r="O60" s="215"/>
      <c r="P60" s="215"/>
      <c r="Q60" s="215"/>
      <c r="R60" s="215"/>
      <c r="S60" s="215"/>
      <c r="T60" s="215"/>
      <c r="U60" s="215"/>
      <c r="V60" s="215"/>
      <c r="W60" s="215"/>
      <c r="X60" s="215"/>
      <c r="Y60" s="215"/>
      <c r="Z60" s="215"/>
      <c r="AA60" s="215"/>
      <c r="AB60" s="215"/>
      <c r="AC60" s="215"/>
      <c r="AD60" s="215"/>
      <c r="AE60" s="215"/>
      <c r="AF60" s="215"/>
      <c r="AG60" s="215"/>
      <c r="AH60" s="215"/>
      <c r="AI60" s="215"/>
      <c r="AJ60" s="215"/>
      <c r="AK60" s="215"/>
      <c r="AL60" s="215"/>
      <c r="AM60" s="215"/>
      <c r="AN60" s="215"/>
      <c r="AO60" s="215"/>
      <c r="AP60" s="215"/>
      <c r="AQ60" s="215"/>
      <c r="AR60" s="215"/>
      <c r="AS60" s="215"/>
      <c r="AT60" s="215"/>
      <c r="AU60" s="215"/>
      <c r="AV60" s="215"/>
      <c r="AW60" s="215"/>
      <c r="AX60" s="215"/>
      <c r="AY60" s="215"/>
      <c r="AZ60" s="215"/>
      <c r="BA60" s="215"/>
      <c r="BB60" s="215"/>
      <c r="BC60" s="215"/>
      <c r="BD60" s="215"/>
      <c r="BE60" s="215"/>
      <c r="BF60" s="215"/>
      <c r="BG60" s="215"/>
    </row>
    <row r="61" spans="1:59" x14ac:dyDescent="0.2">
      <c r="C61" s="8">
        <v>590</v>
      </c>
      <c r="D61" s="8" t="s">
        <v>619</v>
      </c>
      <c r="E61" s="19">
        <f>'6.1 Investissements'!E84:BC84</f>
        <v>263140.82</v>
      </c>
      <c r="F61" s="19">
        <f>'6.1 Investissements'!F84:BD84</f>
        <v>0</v>
      </c>
      <c r="G61" s="19">
        <f>'6.1 Investissements'!G84:BE84</f>
        <v>0</v>
      </c>
      <c r="H61" s="19">
        <f>'6.1 Investissements'!H84:BF84</f>
        <v>0</v>
      </c>
      <c r="I61" s="19">
        <f>'6.1 Investissements'!I84:BG84</f>
        <v>272149.2</v>
      </c>
      <c r="J61" s="19">
        <f>'6.1 Investissements'!J84:BH84</f>
        <v>327152.95</v>
      </c>
      <c r="K61" s="19">
        <f>'6.1 Investissements'!K84:BI84</f>
        <v>41782.75</v>
      </c>
      <c r="L61" s="19">
        <f>'6.1 Investissements'!L84:BJ84</f>
        <v>3529629.3</v>
      </c>
      <c r="M61" s="19">
        <f>'6.1 Investissements'!M84:BK84</f>
        <v>1574994.15</v>
      </c>
      <c r="N61" s="19">
        <f>'6.1 Investissements'!N84:BL84</f>
        <v>0</v>
      </c>
      <c r="O61" s="19">
        <f>'6.1 Investissements'!O84:BM84</f>
        <v>2540527.9500000002</v>
      </c>
      <c r="P61" s="19">
        <f>'6.1 Investissements'!P84:BN84</f>
        <v>0</v>
      </c>
      <c r="Q61" s="19">
        <f>'6.1 Investissements'!Q84:BO84</f>
        <v>0</v>
      </c>
      <c r="R61" s="19">
        <f>'6.1 Investissements'!R84:BP84</f>
        <v>126000</v>
      </c>
      <c r="S61" s="19">
        <f>'6.1 Investissements'!S84:BQ84</f>
        <v>0</v>
      </c>
      <c r="T61" s="19">
        <f>'6.1 Investissements'!T84:BR84</f>
        <v>6401</v>
      </c>
      <c r="U61" s="19">
        <f>'6.1 Investissements'!U84:BS84</f>
        <v>0</v>
      </c>
      <c r="V61" s="19">
        <f>'6.1 Investissements'!V84:BT84</f>
        <v>0</v>
      </c>
      <c r="W61" s="19">
        <f>'6.1 Investissements'!W84:BU84</f>
        <v>809066.57</v>
      </c>
      <c r="X61" s="19">
        <f>'6.1 Investissements'!X84:BV84</f>
        <v>0</v>
      </c>
      <c r="Y61" s="19">
        <f>'6.1 Investissements'!Y84:BW84</f>
        <v>73509.55</v>
      </c>
      <c r="Z61" s="19">
        <f>'6.1 Investissements'!Z84:BX84</f>
        <v>0</v>
      </c>
      <c r="AA61" s="19">
        <f>'6.1 Investissements'!AA84:BZ84</f>
        <v>267055</v>
      </c>
      <c r="AB61" s="19">
        <f>'6.1 Investissements'!AB84:CA84</f>
        <v>20170</v>
      </c>
      <c r="AC61" s="19">
        <f>'6.1 Investissements'!AC84:CB84</f>
        <v>584800</v>
      </c>
      <c r="AD61" s="19">
        <f>'6.1 Investissements'!AD84:CC84</f>
        <v>5000</v>
      </c>
      <c r="AE61" s="19">
        <f>'6.1 Investissements'!AE84:CD84</f>
        <v>131430</v>
      </c>
      <c r="AF61" s="19">
        <f>'6.1 Investissements'!AF84:CE84</f>
        <v>81803.899999999994</v>
      </c>
      <c r="AG61" s="19">
        <f>'6.1 Investissements'!AG84:CF84</f>
        <v>211455.25</v>
      </c>
      <c r="AH61" s="19">
        <f>'6.1 Investissements'!AH84:CG84</f>
        <v>20790</v>
      </c>
      <c r="AI61" s="19">
        <f>'6.1 Investissements'!AI84:CH84</f>
        <v>575000</v>
      </c>
      <c r="AJ61" s="19">
        <f>'6.1 Investissements'!AJ84:CI84</f>
        <v>31000</v>
      </c>
      <c r="AK61" s="19">
        <f>'6.1 Investissements'!AK84:CJ84</f>
        <v>74000</v>
      </c>
      <c r="AL61" s="19">
        <f>'6.1 Investissements'!AL84:CK84</f>
        <v>217825.5</v>
      </c>
      <c r="AM61" s="19">
        <f>'6.1 Investissements'!AM84:CL84</f>
        <v>0</v>
      </c>
      <c r="AN61" s="19">
        <f>'6.1 Investissements'!AN84:CM84</f>
        <v>110999.1</v>
      </c>
      <c r="AO61" s="19">
        <f>'6.1 Investissements'!AO84:CN84</f>
        <v>160035.9</v>
      </c>
      <c r="AP61" s="19">
        <f>'6.1 Investissements'!AP84:CO84</f>
        <v>516925.65</v>
      </c>
      <c r="AQ61" s="19">
        <f>'6.1 Investissements'!AQ84:CP84</f>
        <v>1202736.05</v>
      </c>
      <c r="AR61" s="19">
        <f>'6.1 Investissements'!AR84:CQ84</f>
        <v>5049.7</v>
      </c>
      <c r="AS61" s="19">
        <f>'6.1 Investissements'!AS84:CR84</f>
        <v>-7612.9</v>
      </c>
      <c r="AT61" s="19">
        <f>'6.1 Investissements'!AT84:CS84</f>
        <v>0</v>
      </c>
      <c r="AU61" s="19">
        <f>'6.1 Investissements'!AU84:CT84</f>
        <v>164207</v>
      </c>
      <c r="AV61" s="19">
        <f>'6.1 Investissements'!AV84:CU84</f>
        <v>9405.86</v>
      </c>
      <c r="AW61" s="19">
        <f>'6.1 Investissements'!AW84:CV84</f>
        <v>20000</v>
      </c>
      <c r="AX61" s="19">
        <f>'6.1 Investissements'!AX84:CW84</f>
        <v>0</v>
      </c>
      <c r="AY61" s="19">
        <f>'6.1 Investissements'!AY84:CX84</f>
        <v>7567</v>
      </c>
      <c r="AZ61" s="19">
        <f>'6.1 Investissements'!AZ84:CY84</f>
        <v>125913.85</v>
      </c>
      <c r="BA61" s="19">
        <f>'6.1 Investissements'!BA84:CZ84</f>
        <v>81405.850000000006</v>
      </c>
      <c r="BB61" s="19">
        <f>'6.1 Investissements'!BB84:DB84</f>
        <v>1112280.06</v>
      </c>
      <c r="BC61" s="19">
        <f>'6.1 Investissements'!BC84:DC84</f>
        <v>1000</v>
      </c>
      <c r="BD61" s="19">
        <f>SUM(E61:BC61)</f>
        <v>15294597.010000002</v>
      </c>
      <c r="BE61" s="19">
        <f>SUM(E61:W61)</f>
        <v>9490844.6900000013</v>
      </c>
      <c r="BF61" s="19">
        <f>SUM(X61:AI61)</f>
        <v>1971013.7</v>
      </c>
      <c r="BG61" s="19">
        <f t="shared" ref="BG61" si="0">SUM(AJ61:BC61)</f>
        <v>3832738.6200000006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O46"/>
  <sheetViews>
    <sheetView workbookViewId="0">
      <pane xSplit="4" ySplit="4" topLeftCell="AX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customWidth="1"/>
    <col min="56" max="58" width="18.7109375" style="8" customWidth="1"/>
    <col min="59" max="59" width="11.42578125" style="8"/>
    <col min="60" max="60" width="20.7109375" style="8" customWidth="1"/>
    <col min="61" max="64" width="11.42578125" style="8"/>
    <col min="65" max="65" width="13.85546875" style="8" bestFit="1" customWidth="1"/>
    <col min="66" max="66" width="11.42578125" style="8"/>
    <col min="67" max="67" width="12.7109375" style="8" bestFit="1" customWidth="1"/>
    <col min="68" max="16384" width="11.42578125" style="8"/>
  </cols>
  <sheetData>
    <row r="1" spans="1:60" ht="18" x14ac:dyDescent="0.25">
      <c r="A1" s="227" t="s">
        <v>488</v>
      </c>
      <c r="B1" s="227"/>
      <c r="C1" s="227"/>
      <c r="D1" s="227"/>
    </row>
    <row r="3" spans="1:60" ht="15" x14ac:dyDescent="0.25">
      <c r="A3" s="7" t="s">
        <v>489</v>
      </c>
      <c r="B3" s="154"/>
      <c r="C3" s="30" t="s">
        <v>490</v>
      </c>
      <c r="D3" s="30" t="s">
        <v>491</v>
      </c>
      <c r="E3" s="9">
        <f>'4.1 Comptes 2023 natures'!E3</f>
        <v>961</v>
      </c>
      <c r="F3" s="9">
        <f>'4.1 Comptes 2023 natures'!F3</f>
        <v>261</v>
      </c>
      <c r="G3" s="9">
        <f>'4.1 Comptes 2023 natures'!G3</f>
        <v>494</v>
      </c>
      <c r="H3" s="9">
        <f>'4.1 Comptes 2023 natures'!H3</f>
        <v>445</v>
      </c>
      <c r="I3" s="9">
        <f>'4.1 Comptes 2023 natures'!I3</f>
        <v>3667</v>
      </c>
      <c r="J3" s="9">
        <f>'4.1 Comptes 2023 natures'!J3</f>
        <v>3396</v>
      </c>
      <c r="K3" s="9">
        <f>'4.1 Comptes 2023 natures'!K3</f>
        <v>2724</v>
      </c>
      <c r="L3" s="9">
        <f>'4.1 Comptes 2023 natures'!L3</f>
        <v>12739</v>
      </c>
      <c r="M3" s="9">
        <f>'4.1 Comptes 2023 natures'!M3</f>
        <v>1372</v>
      </c>
      <c r="N3" s="9">
        <f>'4.1 Comptes 2023 natures'!N3</f>
        <v>117</v>
      </c>
      <c r="O3" s="9">
        <f>'4.1 Comptes 2023 natures'!O3</f>
        <v>7362</v>
      </c>
      <c r="P3" s="9">
        <f>'4.1 Comptes 2023 natures'!P3</f>
        <v>535</v>
      </c>
      <c r="Q3" s="9">
        <f>'4.1 Comptes 2023 natures'!Q3</f>
        <v>112</v>
      </c>
      <c r="R3" s="9">
        <f>'4.1 Comptes 2023 natures'!R3</f>
        <v>420</v>
      </c>
      <c r="S3" s="9">
        <f>'4.1 Comptes 2023 natures'!S3</f>
        <v>349</v>
      </c>
      <c r="T3" s="9">
        <f>'4.1 Comptes 2023 natures'!T3</f>
        <v>733</v>
      </c>
      <c r="U3" s="9">
        <f>'4.1 Comptes 2023 natures'!U3</f>
        <v>273</v>
      </c>
      <c r="V3" s="9">
        <f>'4.1 Comptes 2023 natures'!V3</f>
        <v>431</v>
      </c>
      <c r="W3" s="9">
        <f>'4.1 Comptes 2023 natures'!W3</f>
        <v>3269</v>
      </c>
      <c r="X3" s="9">
        <f>'4.1 Comptes 2023 natures'!X3</f>
        <v>305</v>
      </c>
      <c r="Y3" s="9">
        <f>'4.1 Comptes 2023 natures'!Y3</f>
        <v>1252</v>
      </c>
      <c r="Z3" s="9">
        <f>'4.1 Comptes 2023 natures'!Z3</f>
        <v>1642</v>
      </c>
      <c r="AA3" s="9">
        <f>'4.1 Comptes 2023 natures'!AA3</f>
        <v>149</v>
      </c>
      <c r="AB3" s="9">
        <f>'4.1 Comptes 2023 natures'!AB3</f>
        <v>510</v>
      </c>
      <c r="AC3" s="9">
        <f>'4.1 Comptes 2023 natures'!AC3</f>
        <v>710</v>
      </c>
      <c r="AD3" s="9">
        <f>'4.1 Comptes 2023 natures'!AD3</f>
        <v>566</v>
      </c>
      <c r="AE3" s="9">
        <f>'4.1 Comptes 2023 natures'!AE3</f>
        <v>508</v>
      </c>
      <c r="AF3" s="9">
        <f>'4.1 Comptes 2023 natures'!AF3</f>
        <v>1957</v>
      </c>
      <c r="AG3" s="9">
        <f>'4.1 Comptes 2023 natures'!AG3</f>
        <v>2568</v>
      </c>
      <c r="AH3" s="9">
        <f>'4.1 Comptes 2023 natures'!AH3</f>
        <v>239</v>
      </c>
      <c r="AI3" s="9">
        <f>'4.1 Comptes 2023 natures'!AI3</f>
        <v>125</v>
      </c>
      <c r="AJ3" s="9">
        <f>'4.1 Comptes 2023 natures'!AJ3</f>
        <v>1907</v>
      </c>
      <c r="AK3" s="9">
        <f>'4.1 Comptes 2023 natures'!AK3</f>
        <v>1134</v>
      </c>
      <c r="AL3" s="9">
        <f>'4.1 Comptes 2023 natures'!AL3</f>
        <v>1203</v>
      </c>
      <c r="AM3" s="9">
        <f>'4.1 Comptes 2023 natures'!AM3</f>
        <v>112</v>
      </c>
      <c r="AN3" s="9">
        <f>'4.1 Comptes 2023 natures'!AN3</f>
        <v>1171</v>
      </c>
      <c r="AO3" s="9">
        <f>'4.1 Comptes 2023 natures'!AO3</f>
        <v>655</v>
      </c>
      <c r="AP3" s="9">
        <f>'4.1 Comptes 2023 natures'!AP3</f>
        <v>631</v>
      </c>
      <c r="AQ3" s="9">
        <f>'4.1 Comptes 2023 natures'!AQ3</f>
        <v>1294</v>
      </c>
      <c r="AR3" s="9">
        <f>'4.1 Comptes 2023 natures'!AR3</f>
        <v>721</v>
      </c>
      <c r="AS3" s="9">
        <f>'4.1 Comptes 2023 natures'!AS3</f>
        <v>1060</v>
      </c>
      <c r="AT3" s="9">
        <f>'4.1 Comptes 2023 natures'!AT3</f>
        <v>314</v>
      </c>
      <c r="AU3" s="9">
        <f>'4.1 Comptes 2023 natures'!AU3</f>
        <v>2453</v>
      </c>
      <c r="AV3" s="9">
        <f>'4.1 Comptes 2023 natures'!AV3</f>
        <v>774</v>
      </c>
      <c r="AW3" s="9">
        <f>'4.1 Comptes 2023 natures'!AW3</f>
        <v>363</v>
      </c>
      <c r="AX3" s="9">
        <f>'4.1 Comptes 2023 natures'!AX3</f>
        <v>332</v>
      </c>
      <c r="AY3" s="9">
        <f>'4.1 Comptes 2023 natures'!AY3</f>
        <v>1647</v>
      </c>
      <c r="AZ3" s="9">
        <f>'4.1 Comptes 2023 natures'!AZ3</f>
        <v>381</v>
      </c>
      <c r="BA3" s="9">
        <f>'4.1 Comptes 2023 natures'!BA3</f>
        <v>1057</v>
      </c>
      <c r="BB3" s="9">
        <f>'4.1 Comptes 2023 natures'!BB3</f>
        <v>6601</v>
      </c>
      <c r="BC3" s="9">
        <f>'4.1 Comptes 2023 natures'!BC3</f>
        <v>547</v>
      </c>
      <c r="BD3" s="9">
        <f>'4.1 Comptes 2023 natures'!BE3</f>
        <v>39660</v>
      </c>
      <c r="BE3" s="9">
        <f>'4.1 Comptes 2023 natures'!BF3</f>
        <v>10531</v>
      </c>
      <c r="BF3" s="9">
        <f>'4.1 Comptes 2023 natures'!BG3</f>
        <v>24357</v>
      </c>
    </row>
    <row r="4" spans="1:60"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0" x14ac:dyDescent="0.2">
      <c r="A5" s="155" t="s">
        <v>248</v>
      </c>
      <c r="B5" s="156" t="s">
        <v>221</v>
      </c>
      <c r="C5" s="155">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row>
    <row r="6" spans="1:60"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row>
    <row r="7" spans="1:60" ht="15" thickBot="1" x14ac:dyDescent="0.25">
      <c r="A7" s="161"/>
      <c r="B7" s="162"/>
      <c r="C7" s="161"/>
      <c r="D7" s="163"/>
      <c r="BD7" s="13"/>
      <c r="BE7" s="13"/>
      <c r="BF7" s="13"/>
    </row>
    <row r="8" spans="1:60"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row>
    <row r="9" spans="1:60" x14ac:dyDescent="0.2">
      <c r="B9" s="165"/>
      <c r="D9" s="13"/>
      <c r="BD9" s="13"/>
      <c r="BE9" s="13"/>
      <c r="BF9" s="13"/>
    </row>
    <row r="10" spans="1:60" x14ac:dyDescent="0.2">
      <c r="A10" s="155" t="s">
        <v>274</v>
      </c>
      <c r="B10" s="156" t="s">
        <v>221</v>
      </c>
      <c r="C10" s="155">
        <v>400</v>
      </c>
      <c r="D10" s="157">
        <f>'Base de données indicateurs1'!BD38</f>
        <v>179674614.62999997</v>
      </c>
      <c r="E10" s="13">
        <f>'Base de données indicateurs1'!E38</f>
        <v>2486627.65</v>
      </c>
      <c r="F10" s="13">
        <f>'Base de données indicateurs1'!F38</f>
        <v>545589.65</v>
      </c>
      <c r="G10" s="13">
        <f>'Base de données indicateurs1'!G38</f>
        <v>836100.5</v>
      </c>
      <c r="H10" s="13">
        <f>'Base de données indicateurs1'!H38</f>
        <v>902667.22</v>
      </c>
      <c r="I10" s="13">
        <f>'Base de données indicateurs1'!I38</f>
        <v>7837296.0099999998</v>
      </c>
      <c r="J10" s="13">
        <f>'Base de données indicateurs1'!J38</f>
        <v>7895666.1200000001</v>
      </c>
      <c r="K10" s="13">
        <f>'Base de données indicateurs1'!K38</f>
        <v>6471945.9900000002</v>
      </c>
      <c r="L10" s="13">
        <f>'Base de données indicateurs1'!L38</f>
        <v>30641401.23</v>
      </c>
      <c r="M10" s="13">
        <f>'Base de données indicateurs1'!M38</f>
        <v>3258211.33</v>
      </c>
      <c r="N10" s="13">
        <f>'Base de données indicateurs1'!N38</f>
        <v>239784.65</v>
      </c>
      <c r="O10" s="13">
        <f>'Base de données indicateurs1'!O38</f>
        <v>16610306.949999999</v>
      </c>
      <c r="P10" s="13">
        <f>'Base de données indicateurs1'!P38</f>
        <v>1090512.3799999999</v>
      </c>
      <c r="Q10" s="13">
        <f>'Base de données indicateurs1'!Q38</f>
        <v>216393.85</v>
      </c>
      <c r="R10" s="13">
        <f>'Base de données indicateurs1'!R38</f>
        <v>832417.12</v>
      </c>
      <c r="S10" s="13">
        <f>'Base de données indicateurs1'!S38</f>
        <v>688469.69</v>
      </c>
      <c r="T10" s="13">
        <f>'Base de données indicateurs1'!T38</f>
        <v>1918886.36</v>
      </c>
      <c r="U10" s="13">
        <f>'Base de données indicateurs1'!U38</f>
        <v>485425.25</v>
      </c>
      <c r="V10" s="13">
        <f>'Base de données indicateurs1'!V38</f>
        <v>979685.59</v>
      </c>
      <c r="W10" s="13">
        <f>'Base de données indicateurs1'!W38</f>
        <v>7034524.54</v>
      </c>
      <c r="X10" s="13">
        <f>'Base de données indicateurs1'!X38</f>
        <v>871239.75</v>
      </c>
      <c r="Y10" s="13">
        <f>'Base de données indicateurs1'!Y38</f>
        <v>4309636.0999999996</v>
      </c>
      <c r="Z10" s="13">
        <f>'Base de données indicateurs1'!Z38</f>
        <v>3258859.68</v>
      </c>
      <c r="AA10" s="13">
        <f>'Base de données indicateurs1'!AA38</f>
        <v>275555.71000000002</v>
      </c>
      <c r="AB10" s="13">
        <f>'Base de données indicateurs1'!AB38</f>
        <v>1222925.81</v>
      </c>
      <c r="AC10" s="13">
        <f>'Base de données indicateurs1'!AC38</f>
        <v>1947245.34</v>
      </c>
      <c r="AD10" s="13">
        <f>'Base de données indicateurs1'!AD38</f>
        <v>1337380.6599999999</v>
      </c>
      <c r="AE10" s="13">
        <f>'Base de données indicateurs1'!AE38</f>
        <v>1557051.34</v>
      </c>
      <c r="AF10" s="13">
        <f>'Base de données indicateurs1'!AF38</f>
        <v>4782382.62</v>
      </c>
      <c r="AG10" s="13">
        <f>'Base de données indicateurs1'!AG38</f>
        <v>6594451.0800000001</v>
      </c>
      <c r="AH10" s="13">
        <f>'Base de données indicateurs1'!AH38</f>
        <v>415278.1</v>
      </c>
      <c r="AI10" s="13">
        <f>'Base de données indicateurs1'!AI38</f>
        <v>252711.16</v>
      </c>
      <c r="AJ10" s="13">
        <f>'Base de données indicateurs1'!AJ38</f>
        <v>5075458.63</v>
      </c>
      <c r="AK10" s="13">
        <f>'Base de données indicateurs1'!AK38</f>
        <v>2230199.11</v>
      </c>
      <c r="AL10" s="13">
        <f>'Base de données indicateurs1'!AL38</f>
        <v>2529283.1</v>
      </c>
      <c r="AM10" s="13">
        <f>'Base de données indicateurs1'!AM38</f>
        <v>326220.40000000002</v>
      </c>
      <c r="AN10" s="13">
        <f>'Base de données indicateurs1'!AN38</f>
        <v>4263031.2</v>
      </c>
      <c r="AO10" s="13">
        <f>'Base de données indicateurs1'!AO38</f>
        <v>1562823.9</v>
      </c>
      <c r="AP10" s="13">
        <f>'Base de données indicateurs1'!AP38</f>
        <v>1856244.45</v>
      </c>
      <c r="AQ10" s="13">
        <f>'Base de données indicateurs1'!AQ38</f>
        <v>2398664.9</v>
      </c>
      <c r="AR10" s="13">
        <f>'Base de données indicateurs1'!AR38</f>
        <v>1677604.1</v>
      </c>
      <c r="AS10" s="13">
        <f>'Base de données indicateurs1'!AS38</f>
        <v>2439407.38</v>
      </c>
      <c r="AT10" s="13">
        <f>'Base de données indicateurs1'!AT38</f>
        <v>742226.45</v>
      </c>
      <c r="AU10" s="13">
        <f>'Base de données indicateurs1'!AU38</f>
        <v>5295929</v>
      </c>
      <c r="AV10" s="13">
        <f>'Base de données indicateurs1'!AV38</f>
        <v>2144191.9900000002</v>
      </c>
      <c r="AW10" s="13">
        <f>'Base de données indicateurs1'!AW38</f>
        <v>626503.13</v>
      </c>
      <c r="AX10" s="13">
        <f>'Base de données indicateurs1'!AX38</f>
        <v>773798.40000000002</v>
      </c>
      <c r="AY10" s="13">
        <f>'Base de données indicateurs1'!AY38</f>
        <v>4511508.01</v>
      </c>
      <c r="AZ10" s="13">
        <f>'Base de données indicateurs1'!AZ38</f>
        <v>718141.5</v>
      </c>
      <c r="BA10" s="13">
        <f>'Base de données indicateurs1'!BA38</f>
        <v>2938241.1</v>
      </c>
      <c r="BB10" s="13">
        <f>'Base de données indicateurs1'!BB38</f>
        <v>18389291.760000002</v>
      </c>
      <c r="BC10" s="13">
        <f>'Base de données indicateurs1'!BC38</f>
        <v>1379216.69</v>
      </c>
      <c r="BD10" s="13">
        <f>SUM(E10:W10)</f>
        <v>90971912.079999998</v>
      </c>
      <c r="BE10" s="13">
        <f>SUM(X10:AI10)</f>
        <v>26824717.350000005</v>
      </c>
      <c r="BF10" s="13">
        <f>SUM(AJ10:BC10)</f>
        <v>61877985.200000003</v>
      </c>
    </row>
    <row r="11" spans="1:60" x14ac:dyDescent="0.2">
      <c r="A11" s="158" t="s">
        <v>276</v>
      </c>
      <c r="B11" s="159" t="s">
        <v>221</v>
      </c>
      <c r="C11" s="158">
        <v>401</v>
      </c>
      <c r="D11" s="160">
        <f>'Base de données indicateurs1'!BD39</f>
        <v>32311937.079999994</v>
      </c>
      <c r="E11" s="13">
        <f>'Base de données indicateurs1'!E39</f>
        <v>167849.81</v>
      </c>
      <c r="F11" s="13">
        <f>'Base de données indicateurs1'!F39</f>
        <v>31072.85</v>
      </c>
      <c r="G11" s="13">
        <f>'Base de données indicateurs1'!G39</f>
        <v>-23744.65</v>
      </c>
      <c r="H11" s="13">
        <f>'Base de données indicateurs1'!H39</f>
        <v>27430.2</v>
      </c>
      <c r="I11" s="13">
        <f>'Base de données indicateurs1'!I39</f>
        <v>250202.95</v>
      </c>
      <c r="J11" s="13">
        <f>'Base de données indicateurs1'!J39</f>
        <v>1118275.8500000001</v>
      </c>
      <c r="K11" s="13">
        <f>'Base de données indicateurs1'!K39</f>
        <v>1223349.05</v>
      </c>
      <c r="L11" s="13">
        <f>'Base de données indicateurs1'!L39</f>
        <v>5362165.45</v>
      </c>
      <c r="M11" s="13">
        <f>'Base de données indicateurs1'!M39</f>
        <v>401506.1</v>
      </c>
      <c r="N11" s="13">
        <f>'Base de données indicateurs1'!N39</f>
        <v>9754.25</v>
      </c>
      <c r="O11" s="13">
        <f>'Base de données indicateurs1'!O39</f>
        <v>223480.36</v>
      </c>
      <c r="P11" s="13">
        <f>'Base de données indicateurs1'!P39</f>
        <v>29291.65</v>
      </c>
      <c r="Q11" s="13">
        <f>'Base de données indicateurs1'!Q39</f>
        <v>518.85</v>
      </c>
      <c r="R11" s="13">
        <f>'Base de données indicateurs1'!R39</f>
        <v>34443.65</v>
      </c>
      <c r="S11" s="13">
        <f>'Base de données indicateurs1'!S39</f>
        <v>19888.150000000001</v>
      </c>
      <c r="T11" s="13">
        <f>'Base de données indicateurs1'!T39</f>
        <v>56848.25</v>
      </c>
      <c r="U11" s="13">
        <f>'Base de données indicateurs1'!U39</f>
        <v>48338.05</v>
      </c>
      <c r="V11" s="13">
        <f>'Base de données indicateurs1'!V39</f>
        <v>331629.2</v>
      </c>
      <c r="W11" s="13">
        <f>'Base de données indicateurs1'!W39</f>
        <v>434677.3</v>
      </c>
      <c r="X11" s="13">
        <f>'Base de données indicateurs1'!X39</f>
        <v>12187.15</v>
      </c>
      <c r="Y11" s="13">
        <f>'Base de données indicateurs1'!Y39</f>
        <v>157817.20000000001</v>
      </c>
      <c r="Z11" s="13">
        <f>'Base de données indicateurs1'!Z39</f>
        <v>9968346.9499999993</v>
      </c>
      <c r="AA11" s="13">
        <f>'Base de données indicateurs1'!AA39</f>
        <v>7009.7</v>
      </c>
      <c r="AB11" s="13">
        <f>'Base de données indicateurs1'!AB39</f>
        <v>-69582.3</v>
      </c>
      <c r="AC11" s="13">
        <f>'Base de données indicateurs1'!AC39</f>
        <v>56189.5</v>
      </c>
      <c r="AD11" s="13">
        <f>'Base de données indicateurs1'!AD39</f>
        <v>32701.65</v>
      </c>
      <c r="AE11" s="13">
        <f>'Base de données indicateurs1'!AE39</f>
        <v>48755.7</v>
      </c>
      <c r="AF11" s="13">
        <f>'Base de données indicateurs1'!AF39</f>
        <v>2349885.1</v>
      </c>
      <c r="AG11" s="13">
        <f>'Base de données indicateurs1'!AG39</f>
        <v>822202.45</v>
      </c>
      <c r="AH11" s="13">
        <f>'Base de données indicateurs1'!AH39</f>
        <v>25498.5</v>
      </c>
      <c r="AI11" s="13">
        <f>'Base de données indicateurs1'!AI39</f>
        <v>9041.4</v>
      </c>
      <c r="AJ11" s="13">
        <f>'Base de données indicateurs1'!AJ39</f>
        <v>195853.65</v>
      </c>
      <c r="AK11" s="13">
        <f>'Base de données indicateurs1'!AK39</f>
        <v>82880.070000000007</v>
      </c>
      <c r="AL11" s="13">
        <f>'Base de données indicateurs1'!AL39</f>
        <v>135929.1</v>
      </c>
      <c r="AM11" s="13">
        <f>'Base de données indicateurs1'!AM39</f>
        <v>7462.75</v>
      </c>
      <c r="AN11" s="13">
        <f>'Base de données indicateurs1'!AN39</f>
        <v>3999805.3</v>
      </c>
      <c r="AO11" s="13">
        <f>'Base de données indicateurs1'!AO39</f>
        <v>-442724.65</v>
      </c>
      <c r="AP11" s="13">
        <f>'Base de données indicateurs1'!AP39</f>
        <v>113951.45</v>
      </c>
      <c r="AQ11" s="13">
        <f>'Base de données indicateurs1'!AQ39</f>
        <v>166659.54999999999</v>
      </c>
      <c r="AR11" s="13">
        <f>'Base de données indicateurs1'!AR39</f>
        <v>31264.74</v>
      </c>
      <c r="AS11" s="13">
        <f>'Base de données indicateurs1'!AS39</f>
        <v>139296.12</v>
      </c>
      <c r="AT11" s="13">
        <f>'Base de données indicateurs1'!AT39</f>
        <v>214680.15</v>
      </c>
      <c r="AU11" s="13">
        <f>'Base de données indicateurs1'!AU39</f>
        <v>775572.5</v>
      </c>
      <c r="AV11" s="13">
        <f>'Base de données indicateurs1'!AV39</f>
        <v>154295.54999999999</v>
      </c>
      <c r="AW11" s="13">
        <f>'Base de données indicateurs1'!AW39</f>
        <v>67572.25</v>
      </c>
      <c r="AX11" s="13">
        <f>'Base de données indicateurs1'!AX39</f>
        <v>13792.11</v>
      </c>
      <c r="AY11" s="13">
        <f>'Base de données indicateurs1'!AY39</f>
        <v>224872</v>
      </c>
      <c r="AZ11" s="13">
        <f>'Base de données indicateurs1'!AZ39</f>
        <v>17289.400000000001</v>
      </c>
      <c r="BA11" s="13">
        <f>'Base de données indicateurs1'!BA39</f>
        <v>32526.35</v>
      </c>
      <c r="BB11" s="13">
        <f>'Base de données indicateurs1'!BB39</f>
        <v>3144327.65</v>
      </c>
      <c r="BC11" s="13">
        <f>'Base de données indicateurs1'!BC39</f>
        <v>69600.72</v>
      </c>
      <c r="BD11" s="13">
        <f>SUM(E11:W11)</f>
        <v>9746977.3200000022</v>
      </c>
      <c r="BE11" s="13">
        <f>SUM(X11:AI11)</f>
        <v>13420052.999999996</v>
      </c>
      <c r="BF11" s="13">
        <f>SUM(AJ11:BC11)</f>
        <v>9144906.7600000016</v>
      </c>
      <c r="BH11" s="13"/>
    </row>
    <row r="12" spans="1:60" x14ac:dyDescent="0.2">
      <c r="A12" s="158" t="s">
        <v>493</v>
      </c>
      <c r="B12" s="159" t="s">
        <v>494</v>
      </c>
      <c r="C12" s="166" t="s">
        <v>495</v>
      </c>
      <c r="D12" s="160">
        <f>'Base de données indicateurs1'!BD48-'Base de données indicateurs1'!BD27</f>
        <v>1296838</v>
      </c>
      <c r="E12" s="13">
        <f>'Base de données indicateurs1'!E48-'Base de données indicateurs1'!E27</f>
        <v>21092</v>
      </c>
      <c r="F12" s="13">
        <f>'Base de données indicateurs1'!F48-'Base de données indicateurs1'!F27</f>
        <v>159548</v>
      </c>
      <c r="G12" s="13">
        <f>'Base de données indicateurs1'!G48-'Base de données indicateurs1'!G27</f>
        <v>73018</v>
      </c>
      <c r="H12" s="13">
        <f>'Base de données indicateurs1'!H48-'Base de données indicateurs1'!H27</f>
        <v>135724</v>
      </c>
      <c r="I12" s="13">
        <f>'Base de données indicateurs1'!I48-'Base de données indicateurs1'!I27</f>
        <v>1230396</v>
      </c>
      <c r="J12" s="13">
        <f>'Base de données indicateurs1'!J48-'Base de données indicateurs1'!J27</f>
        <v>204796</v>
      </c>
      <c r="K12" s="13">
        <f>'Base de données indicateurs1'!K48-'Base de données indicateurs1'!K27</f>
        <v>-241355</v>
      </c>
      <c r="L12" s="13">
        <f>'Base de données indicateurs1'!L48-'Base de données indicateurs1'!L27</f>
        <v>-841941</v>
      </c>
      <c r="M12" s="13">
        <f>'Base de données indicateurs1'!M48-'Base de données indicateurs1'!M27</f>
        <v>0</v>
      </c>
      <c r="N12" s="13">
        <f>'Base de données indicateurs1'!N48-'Base de données indicateurs1'!N27</f>
        <v>113452</v>
      </c>
      <c r="O12" s="13">
        <f>'Base de données indicateurs1'!O48-'Base de données indicateurs1'!O27</f>
        <v>1228561</v>
      </c>
      <c r="P12" s="13">
        <f>'Base de données indicateurs1'!P48-'Base de données indicateurs1'!P27</f>
        <v>304210</v>
      </c>
      <c r="Q12" s="13">
        <f>'Base de données indicateurs1'!Q48-'Base de données indicateurs1'!Q27</f>
        <v>46172</v>
      </c>
      <c r="R12" s="13">
        <f>'Base de données indicateurs1'!R48-'Base de données indicateurs1'!R27</f>
        <v>141958</v>
      </c>
      <c r="S12" s="13">
        <f>'Base de données indicateurs1'!S48-'Base de données indicateurs1'!S27</f>
        <v>106306</v>
      </c>
      <c r="T12" s="13">
        <f>'Base de données indicateurs1'!T48-'Base de données indicateurs1'!T27</f>
        <v>-30591</v>
      </c>
      <c r="U12" s="13">
        <f>'Base de données indicateurs1'!U48-'Base de données indicateurs1'!U27</f>
        <v>193894</v>
      </c>
      <c r="V12" s="13">
        <f>'Base de données indicateurs1'!V48-'Base de données indicateurs1'!V27</f>
        <v>10142</v>
      </c>
      <c r="W12" s="13">
        <f>'Base de données indicateurs1'!W48-'Base de données indicateurs1'!W27</f>
        <v>720672</v>
      </c>
      <c r="X12" s="13">
        <f>'Base de données indicateurs1'!X48-'Base de données indicateurs1'!X27</f>
        <v>16754</v>
      </c>
      <c r="Y12" s="13">
        <f>'Base de données indicateurs1'!Y48-'Base de données indicateurs1'!Y27</f>
        <v>-182984</v>
      </c>
      <c r="Z12" s="13">
        <f>'Base de données indicateurs1'!Z48-'Base de données indicateurs1'!Z27</f>
        <v>-3814672</v>
      </c>
      <c r="AA12" s="13">
        <f>'Base de données indicateurs1'!AA48-'Base de données indicateurs1'!AA27</f>
        <v>58576</v>
      </c>
      <c r="AB12" s="13">
        <f>'Base de données indicateurs1'!AB48-'Base de données indicateurs1'!AB27</f>
        <v>10638</v>
      </c>
      <c r="AC12" s="13">
        <f>'Base de données indicateurs1'!AC48-'Base de données indicateurs1'!AC27</f>
        <v>161112</v>
      </c>
      <c r="AD12" s="13">
        <f>'Base de données indicateurs1'!AD48-'Base de données indicateurs1'!AD27</f>
        <v>83696</v>
      </c>
      <c r="AE12" s="13">
        <f>'Base de données indicateurs1'!AE48-'Base de données indicateurs1'!AE27</f>
        <v>-23124</v>
      </c>
      <c r="AF12" s="13">
        <f>'Base de données indicateurs1'!AF48-'Base de données indicateurs1'!AF27</f>
        <v>-343683</v>
      </c>
      <c r="AG12" s="13">
        <f>'Base de données indicateurs1'!AG48-'Base de données indicateurs1'!AG27</f>
        <v>242574</v>
      </c>
      <c r="AH12" s="13">
        <f>'Base de données indicateurs1'!AH48-'Base de données indicateurs1'!AH27</f>
        <v>170886</v>
      </c>
      <c r="AI12" s="13">
        <f>'Base de données indicateurs1'!AI48-'Base de données indicateurs1'!AI27</f>
        <v>49222</v>
      </c>
      <c r="AJ12" s="13">
        <f>'Base de données indicateurs1'!AJ48-'Base de données indicateurs1'!AJ27</f>
        <v>-62492</v>
      </c>
      <c r="AK12" s="13">
        <f>'Base de données indicateurs1'!AK48-'Base de données indicateurs1'!AK27</f>
        <v>482454</v>
      </c>
      <c r="AL12" s="13">
        <f>'Base de données indicateurs1'!AL48-'Base de données indicateurs1'!AL27</f>
        <v>578520</v>
      </c>
      <c r="AM12" s="13">
        <f>'Base de données indicateurs1'!AM48-'Base de données indicateurs1'!AM27</f>
        <v>21898</v>
      </c>
      <c r="AN12" s="13">
        <f>'Base de données indicateurs1'!AN48-'Base de données indicateurs1'!AN27</f>
        <v>-1770320</v>
      </c>
      <c r="AO12" s="13">
        <f>'Base de données indicateurs1'!AO48-'Base de données indicateurs1'!AO27</f>
        <v>-10400</v>
      </c>
      <c r="AP12" s="13">
        <f>'Base de données indicateurs1'!AP48-'Base de données indicateurs1'!AP27</f>
        <v>90334</v>
      </c>
      <c r="AQ12" s="13">
        <f>'Base de données indicateurs1'!AQ48-'Base de données indicateurs1'!AQ27</f>
        <v>480598</v>
      </c>
      <c r="AR12" s="13">
        <f>'Base de données indicateurs1'!AR48-'Base de données indicateurs1'!AR27</f>
        <v>169196</v>
      </c>
      <c r="AS12" s="13">
        <f>'Base de données indicateurs1'!AS48-'Base de données indicateurs1'!AS27</f>
        <v>194010</v>
      </c>
      <c r="AT12" s="13">
        <f>'Base de données indicateurs1'!AT48-'Base de données indicateurs1'!AT27</f>
        <v>200148</v>
      </c>
      <c r="AU12" s="13">
        <f>'Base de données indicateurs1'!AU48-'Base de données indicateurs1'!AU27</f>
        <v>0</v>
      </c>
      <c r="AV12" s="13">
        <f>'Base de données indicateurs1'!AV48-'Base de données indicateurs1'!AV27</f>
        <v>-33832</v>
      </c>
      <c r="AW12" s="13">
        <f>'Base de données indicateurs1'!AW48-'Base de données indicateurs1'!AW27</f>
        <v>578925</v>
      </c>
      <c r="AX12" s="13">
        <f>'Base de données indicateurs1'!AX48-'Base de données indicateurs1'!AX27</f>
        <v>118932</v>
      </c>
      <c r="AY12" s="13">
        <f>'Base de données indicateurs1'!AY48-'Base de données indicateurs1'!AY27</f>
        <v>192929</v>
      </c>
      <c r="AZ12" s="13">
        <f>'Base de données indicateurs1'!AZ48-'Base de données indicateurs1'!AZ27</f>
        <v>176566</v>
      </c>
      <c r="BA12" s="13">
        <f>'Base de données indicateurs1'!BA48-'Base de données indicateurs1'!BA27</f>
        <v>-10724</v>
      </c>
      <c r="BB12" s="13">
        <f>'Base de données indicateurs1'!BB48-'Base de données indicateurs1'!BB27</f>
        <v>-265179</v>
      </c>
      <c r="BC12" s="13">
        <f>'Base de données indicateurs1'!BC48-'Base de données indicateurs1'!BC27</f>
        <v>160226</v>
      </c>
      <c r="BD12" s="13">
        <f>SUM(E12:W12)</f>
        <v>3576054</v>
      </c>
      <c r="BE12" s="13">
        <f>SUM(X12:AI12)</f>
        <v>-3571005</v>
      </c>
      <c r="BF12" s="13">
        <f>SUM(AJ12:BC12)</f>
        <v>1291789</v>
      </c>
      <c r="BH12" s="13"/>
    </row>
    <row r="13" spans="1:60" x14ac:dyDescent="0.2">
      <c r="A13" s="158" t="s">
        <v>496</v>
      </c>
      <c r="B13" s="159" t="s">
        <v>221</v>
      </c>
      <c r="C13" s="158">
        <v>46228</v>
      </c>
      <c r="D13" s="160">
        <f>'Base de données indicateurs1'!BD49</f>
        <v>1442862.75</v>
      </c>
      <c r="E13" s="13">
        <f>'Base de données indicateurs1'!E49</f>
        <v>0</v>
      </c>
      <c r="F13" s="13">
        <f>'Base de données indicateurs1'!F49</f>
        <v>0</v>
      </c>
      <c r="G13" s="13">
        <f>'Base de données indicateurs1'!G49</f>
        <v>0</v>
      </c>
      <c r="H13" s="13">
        <f>'Base de données indicateurs1'!H49</f>
        <v>0</v>
      </c>
      <c r="I13" s="13">
        <f>'Base de données indicateurs1'!I49</f>
        <v>0</v>
      </c>
      <c r="J13" s="13">
        <f>'Base de données indicateurs1'!J49</f>
        <v>0</v>
      </c>
      <c r="K13" s="13">
        <f>'Base de données indicateurs1'!K49</f>
        <v>0</v>
      </c>
      <c r="L13" s="13">
        <f>'Base de données indicateurs1'!L49</f>
        <v>1018740.6</v>
      </c>
      <c r="M13" s="13">
        <f>'Base de données indicateurs1'!M49</f>
        <v>0</v>
      </c>
      <c r="N13" s="13">
        <f>'Base de données indicateurs1'!N49</f>
        <v>0</v>
      </c>
      <c r="O13" s="13">
        <f>'Base de données indicateurs1'!O49</f>
        <v>0</v>
      </c>
      <c r="P13" s="13">
        <f>'Base de données indicateurs1'!P49</f>
        <v>0</v>
      </c>
      <c r="Q13" s="13">
        <f>'Base de données indicateurs1'!Q49</f>
        <v>0</v>
      </c>
      <c r="R13" s="13">
        <f>'Base de données indicateurs1'!R49</f>
        <v>0</v>
      </c>
      <c r="S13" s="13">
        <f>'Base de données indicateurs1'!S49</f>
        <v>0</v>
      </c>
      <c r="T13" s="13">
        <f>'Base de données indicateurs1'!T49</f>
        <v>0</v>
      </c>
      <c r="U13" s="13">
        <f>'Base de données indicateurs1'!U49</f>
        <v>0</v>
      </c>
      <c r="V13" s="13">
        <f>'Base de données indicateurs1'!V49</f>
        <v>0</v>
      </c>
      <c r="W13" s="13">
        <f>'Base de données indicateurs1'!W49</f>
        <v>0</v>
      </c>
      <c r="X13" s="13">
        <f>'Base de données indicateurs1'!X49</f>
        <v>0</v>
      </c>
      <c r="Y13" s="13">
        <f>'Base de données indicateurs1'!Y49</f>
        <v>0</v>
      </c>
      <c r="Z13" s="13">
        <f>'Base de données indicateurs1'!Z49</f>
        <v>0</v>
      </c>
      <c r="AA13" s="13">
        <f>'Base de données indicateurs1'!AA49</f>
        <v>0</v>
      </c>
      <c r="AB13" s="13">
        <f>'Base de données indicateurs1'!AB49</f>
        <v>0</v>
      </c>
      <c r="AC13" s="13">
        <f>'Base de données indicateurs1'!AC49</f>
        <v>0</v>
      </c>
      <c r="AD13" s="13">
        <f>'Base de données indicateurs1'!AD49</f>
        <v>0</v>
      </c>
      <c r="AE13" s="13">
        <f>'Base de données indicateurs1'!AE49</f>
        <v>0</v>
      </c>
      <c r="AF13" s="13">
        <f>'Base de données indicateurs1'!AF49</f>
        <v>0</v>
      </c>
      <c r="AG13" s="13">
        <f>'Base de données indicateurs1'!AG49</f>
        <v>0</v>
      </c>
      <c r="AH13" s="13">
        <f>'Base de données indicateurs1'!AH49</f>
        <v>0</v>
      </c>
      <c r="AI13" s="13">
        <f>'Base de données indicateurs1'!AI49</f>
        <v>0</v>
      </c>
      <c r="AJ13" s="13">
        <f>'Base de données indicateurs1'!AJ49</f>
        <v>0</v>
      </c>
      <c r="AK13" s="13">
        <f>'Base de données indicateurs1'!AK49</f>
        <v>0</v>
      </c>
      <c r="AL13" s="13">
        <f>'Base de données indicateurs1'!AL49</f>
        <v>0</v>
      </c>
      <c r="AM13" s="13">
        <f>'Base de données indicateurs1'!AM49</f>
        <v>0</v>
      </c>
      <c r="AN13" s="13">
        <f>'Base de données indicateurs1'!AN49</f>
        <v>0</v>
      </c>
      <c r="AO13" s="13">
        <f>'Base de données indicateurs1'!AO49</f>
        <v>0</v>
      </c>
      <c r="AP13" s="13">
        <f>'Base de données indicateurs1'!AP49</f>
        <v>0</v>
      </c>
      <c r="AQ13" s="13">
        <f>'Base de données indicateurs1'!AQ49</f>
        <v>0</v>
      </c>
      <c r="AR13" s="13">
        <f>'Base de données indicateurs1'!AR49</f>
        <v>0</v>
      </c>
      <c r="AS13" s="13">
        <f>'Base de données indicateurs1'!AS49</f>
        <v>0</v>
      </c>
      <c r="AT13" s="13">
        <f>'Base de données indicateurs1'!AT49</f>
        <v>0</v>
      </c>
      <c r="AU13" s="13">
        <f>'Base de données indicateurs1'!AU49</f>
        <v>0</v>
      </c>
      <c r="AV13" s="13">
        <f>'Base de données indicateurs1'!AV49</f>
        <v>0</v>
      </c>
      <c r="AW13" s="13">
        <f>'Base de données indicateurs1'!AW49</f>
        <v>0</v>
      </c>
      <c r="AX13" s="13">
        <f>'Base de données indicateurs1'!AX49</f>
        <v>0</v>
      </c>
      <c r="AY13" s="13">
        <f>'Base de données indicateurs1'!AY49</f>
        <v>0</v>
      </c>
      <c r="AZ13" s="13">
        <f>'Base de données indicateurs1'!AZ49</f>
        <v>0</v>
      </c>
      <c r="BA13" s="13">
        <f>'Base de données indicateurs1'!BA49</f>
        <v>0</v>
      </c>
      <c r="BB13" s="13">
        <f>'Base de données indicateurs1'!BB49</f>
        <v>424122.15</v>
      </c>
      <c r="BC13" s="13">
        <f>'Base de données indicateurs1'!BC49</f>
        <v>0</v>
      </c>
      <c r="BD13" s="13">
        <f>SUM(E13:W13)</f>
        <v>1018740.6</v>
      </c>
      <c r="BE13" s="13">
        <f>SUM(X13:AI13)</f>
        <v>0</v>
      </c>
      <c r="BF13" s="13">
        <f>SUM(AJ13:BC13)</f>
        <v>424122.15</v>
      </c>
      <c r="BH13" s="13"/>
    </row>
    <row r="14" spans="1:60" ht="15" thickBot="1" x14ac:dyDescent="0.25">
      <c r="A14" s="161"/>
      <c r="B14" s="162"/>
      <c r="C14" s="161"/>
      <c r="D14" s="163"/>
      <c r="BD14" s="13"/>
      <c r="BE14" s="13"/>
      <c r="BF14" s="13"/>
      <c r="BH14" s="13"/>
    </row>
    <row r="15" spans="1:60" ht="15.75" thickBot="1" x14ac:dyDescent="0.3">
      <c r="A15" s="7" t="s">
        <v>497</v>
      </c>
      <c r="B15" s="108"/>
      <c r="C15" s="7"/>
      <c r="D15" s="164">
        <f>D10+D11+D12+D13</f>
        <v>214726252.45999995</v>
      </c>
      <c r="E15" s="13">
        <f>E10+E11+E12+E13</f>
        <v>2675569.46</v>
      </c>
      <c r="F15" s="13">
        <f t="shared" ref="F15:BC15" si="1">F10+F11+F12+F13</f>
        <v>736210.5</v>
      </c>
      <c r="G15" s="13">
        <f t="shared" si="1"/>
        <v>885373.85</v>
      </c>
      <c r="H15" s="13">
        <f t="shared" si="1"/>
        <v>1065821.42</v>
      </c>
      <c r="I15" s="13">
        <f t="shared" si="1"/>
        <v>9317894.9600000009</v>
      </c>
      <c r="J15" s="13">
        <f t="shared" si="1"/>
        <v>9218737.9700000007</v>
      </c>
      <c r="K15" s="13">
        <f t="shared" si="1"/>
        <v>7453940.04</v>
      </c>
      <c r="L15" s="13">
        <f t="shared" si="1"/>
        <v>36180366.280000001</v>
      </c>
      <c r="M15" s="13">
        <f t="shared" si="1"/>
        <v>3659717.43</v>
      </c>
      <c r="N15" s="13">
        <f t="shared" si="1"/>
        <v>362990.9</v>
      </c>
      <c r="O15" s="13">
        <f t="shared" si="1"/>
        <v>18062348.309999999</v>
      </c>
      <c r="P15" s="13">
        <f t="shared" si="1"/>
        <v>1424014.0299999998</v>
      </c>
      <c r="Q15" s="13">
        <f t="shared" si="1"/>
        <v>263084.7</v>
      </c>
      <c r="R15" s="13">
        <f t="shared" si="1"/>
        <v>1008818.77</v>
      </c>
      <c r="S15" s="13">
        <f t="shared" si="1"/>
        <v>814663.84</v>
      </c>
      <c r="T15" s="13">
        <f t="shared" si="1"/>
        <v>1945143.61</v>
      </c>
      <c r="U15" s="13">
        <f t="shared" si="1"/>
        <v>727657.3</v>
      </c>
      <c r="V15" s="13">
        <f t="shared" si="1"/>
        <v>1321456.79</v>
      </c>
      <c r="W15" s="13">
        <f t="shared" si="1"/>
        <v>8189873.8399999999</v>
      </c>
      <c r="X15" s="13">
        <f t="shared" si="1"/>
        <v>900180.9</v>
      </c>
      <c r="Y15" s="13">
        <f t="shared" si="1"/>
        <v>4284469.3</v>
      </c>
      <c r="Z15" s="13">
        <f t="shared" si="1"/>
        <v>9412534.629999999</v>
      </c>
      <c r="AA15" s="13">
        <f t="shared" si="1"/>
        <v>341141.41000000003</v>
      </c>
      <c r="AB15" s="13">
        <f t="shared" si="1"/>
        <v>1163981.51</v>
      </c>
      <c r="AC15" s="13">
        <f t="shared" si="1"/>
        <v>2164546.84</v>
      </c>
      <c r="AD15" s="13">
        <f t="shared" si="1"/>
        <v>1453778.3099999998</v>
      </c>
      <c r="AE15" s="13">
        <f t="shared" si="1"/>
        <v>1582683.04</v>
      </c>
      <c r="AF15" s="13">
        <f t="shared" si="1"/>
        <v>6788584.7200000007</v>
      </c>
      <c r="AG15" s="13">
        <f t="shared" si="1"/>
        <v>7659227.5300000003</v>
      </c>
      <c r="AH15" s="13">
        <f t="shared" si="1"/>
        <v>611662.6</v>
      </c>
      <c r="AI15" s="13">
        <f t="shared" si="1"/>
        <v>310974.56</v>
      </c>
      <c r="AJ15" s="13">
        <f t="shared" si="1"/>
        <v>5208820.28</v>
      </c>
      <c r="AK15" s="13">
        <f t="shared" si="1"/>
        <v>2795533.1799999997</v>
      </c>
      <c r="AL15" s="13">
        <f t="shared" si="1"/>
        <v>3243732.2</v>
      </c>
      <c r="AM15" s="13">
        <f t="shared" si="1"/>
        <v>355581.15</v>
      </c>
      <c r="AN15" s="13">
        <f t="shared" si="1"/>
        <v>6492516.5</v>
      </c>
      <c r="AO15" s="13">
        <f t="shared" si="1"/>
        <v>1109699.25</v>
      </c>
      <c r="AP15" s="13">
        <f t="shared" si="1"/>
        <v>2060529.9</v>
      </c>
      <c r="AQ15" s="13">
        <f t="shared" si="1"/>
        <v>3045922.4499999997</v>
      </c>
      <c r="AR15" s="13">
        <f t="shared" si="1"/>
        <v>1878064.84</v>
      </c>
      <c r="AS15" s="13">
        <f t="shared" si="1"/>
        <v>2772713.5</v>
      </c>
      <c r="AT15" s="13">
        <f t="shared" si="1"/>
        <v>1157054.6000000001</v>
      </c>
      <c r="AU15" s="13">
        <f t="shared" si="1"/>
        <v>6071501.5</v>
      </c>
      <c r="AV15" s="13">
        <f t="shared" si="1"/>
        <v>2264655.54</v>
      </c>
      <c r="AW15" s="13">
        <f t="shared" si="1"/>
        <v>1273000.3799999999</v>
      </c>
      <c r="AX15" s="13">
        <f t="shared" si="1"/>
        <v>906522.51</v>
      </c>
      <c r="AY15" s="13">
        <f t="shared" si="1"/>
        <v>4929309.01</v>
      </c>
      <c r="AZ15" s="13">
        <f t="shared" si="1"/>
        <v>911996.9</v>
      </c>
      <c r="BA15" s="13">
        <f t="shared" si="1"/>
        <v>2960043.45</v>
      </c>
      <c r="BB15" s="13">
        <f t="shared" si="1"/>
        <v>21692562.559999999</v>
      </c>
      <c r="BC15" s="13">
        <f t="shared" si="1"/>
        <v>1609043.41</v>
      </c>
      <c r="BD15" s="13">
        <f>SUM(E15:W15)</f>
        <v>105313684.00000003</v>
      </c>
      <c r="BE15" s="13">
        <f>SUM(X15:AI15)</f>
        <v>36673765.350000001</v>
      </c>
      <c r="BF15" s="13">
        <f>SUM(AJ15:BC15)</f>
        <v>72738803.109999999</v>
      </c>
      <c r="BH15" s="13"/>
    </row>
    <row r="16" spans="1:60" ht="15" thickBot="1" x14ac:dyDescent="0.25">
      <c r="B16" s="165"/>
      <c r="D16" s="13"/>
      <c r="BD16" s="13"/>
      <c r="BE16" s="13"/>
      <c r="BF16" s="13"/>
      <c r="BH16" s="13"/>
    </row>
    <row r="17" spans="1:67" ht="15.75" thickBot="1" x14ac:dyDescent="0.3">
      <c r="A17" s="7" t="s">
        <v>498</v>
      </c>
      <c r="B17" s="165"/>
      <c r="D17" s="164">
        <f>IF(D15&lt;&gt;0,D8/D15,"")*100</f>
        <v>139.34158513558398</v>
      </c>
      <c r="E17" s="167">
        <f>IF(E15&lt;&gt;0,E8/E15,"")*100</f>
        <v>197.73056050654719</v>
      </c>
      <c r="F17" s="168">
        <f t="shared" ref="F17:BF17" si="2">IF(F15&lt;&gt;0,F8/F15,"")*100</f>
        <v>155.10168762874207</v>
      </c>
      <c r="G17" s="168">
        <f t="shared" si="2"/>
        <v>237.94900312449928</v>
      </c>
      <c r="H17" s="168">
        <f t="shared" si="2"/>
        <v>-12.637082298458635</v>
      </c>
      <c r="I17" s="168">
        <f t="shared" si="2"/>
        <v>157.89201244655368</v>
      </c>
      <c r="J17" s="168">
        <f t="shared" si="2"/>
        <v>172.40732768110118</v>
      </c>
      <c r="K17" s="168">
        <f t="shared" si="2"/>
        <v>-8.6328620373501064</v>
      </c>
      <c r="L17" s="168">
        <f t="shared" si="2"/>
        <v>304.2155164991878</v>
      </c>
      <c r="M17" s="168">
        <f t="shared" si="2"/>
        <v>117.98537216574123</v>
      </c>
      <c r="N17" s="168">
        <f t="shared" si="2"/>
        <v>157.21437920344559</v>
      </c>
      <c r="O17" s="168">
        <f t="shared" si="2"/>
        <v>171.43026121834319</v>
      </c>
      <c r="P17" s="168">
        <f t="shared" si="2"/>
        <v>62.360102589719567</v>
      </c>
      <c r="Q17" s="168">
        <f t="shared" si="2"/>
        <v>4.3281726379375192</v>
      </c>
      <c r="R17" s="168">
        <f t="shared" si="2"/>
        <v>175.509857930181</v>
      </c>
      <c r="S17" s="168">
        <f t="shared" si="2"/>
        <v>179.60410640050011</v>
      </c>
      <c r="T17" s="168">
        <f t="shared" si="2"/>
        <v>-38.224038892429135</v>
      </c>
      <c r="U17" s="168">
        <f t="shared" si="2"/>
        <v>61.141566229047626</v>
      </c>
      <c r="V17" s="168">
        <f t="shared" si="2"/>
        <v>129.64134529135836</v>
      </c>
      <c r="W17" s="168">
        <f t="shared" si="2"/>
        <v>133.80356894484225</v>
      </c>
      <c r="X17" s="168">
        <f t="shared" si="2"/>
        <v>-133.68682783649376</v>
      </c>
      <c r="Y17" s="168">
        <f t="shared" si="2"/>
        <v>108.6427233823335</v>
      </c>
      <c r="Z17" s="168">
        <f t="shared" si="2"/>
        <v>-200.77073926260817</v>
      </c>
      <c r="AA17" s="168">
        <f t="shared" si="2"/>
        <v>-91.37144329678425</v>
      </c>
      <c r="AB17" s="168">
        <f t="shared" si="2"/>
        <v>137.70787819473182</v>
      </c>
      <c r="AC17" s="168">
        <f t="shared" si="2"/>
        <v>240.82486798945871</v>
      </c>
      <c r="AD17" s="168">
        <f t="shared" si="2"/>
        <v>140.60363165000035</v>
      </c>
      <c r="AE17" s="168">
        <f t="shared" si="2"/>
        <v>-145.99598666325511</v>
      </c>
      <c r="AF17" s="168">
        <f t="shared" si="2"/>
        <v>-37.213960408525345</v>
      </c>
      <c r="AG17" s="168">
        <f t="shared" si="2"/>
        <v>69.305279797582955</v>
      </c>
      <c r="AH17" s="168">
        <f t="shared" si="2"/>
        <v>-19.80669735242925</v>
      </c>
      <c r="AI17" s="168">
        <f t="shared" si="2"/>
        <v>-353.24561276009206</v>
      </c>
      <c r="AJ17" s="168">
        <f t="shared" si="2"/>
        <v>207.538864059253</v>
      </c>
      <c r="AK17" s="168">
        <f t="shared" si="2"/>
        <v>92.589451218747485</v>
      </c>
      <c r="AL17" s="168">
        <f t="shared" si="2"/>
        <v>221.43885305944798</v>
      </c>
      <c r="AM17" s="168">
        <f t="shared" si="2"/>
        <v>-20.847989270522358</v>
      </c>
      <c r="AN17" s="168">
        <f t="shared" si="2"/>
        <v>-108.26238285262733</v>
      </c>
      <c r="AO17" s="168">
        <f t="shared" si="2"/>
        <v>219.33067901055176</v>
      </c>
      <c r="AP17" s="168">
        <f t="shared" si="2"/>
        <v>104.36590655636691</v>
      </c>
      <c r="AQ17" s="168">
        <f t="shared" si="2"/>
        <v>-10.137379236296615</v>
      </c>
      <c r="AR17" s="168">
        <f t="shared" si="2"/>
        <v>164.99207077429762</v>
      </c>
      <c r="AS17" s="168">
        <f t="shared" si="2"/>
        <v>188.97301253807873</v>
      </c>
      <c r="AT17" s="168">
        <f t="shared" si="2"/>
        <v>-95.091465865137224</v>
      </c>
      <c r="AU17" s="168">
        <f t="shared" si="2"/>
        <v>172.60835972782024</v>
      </c>
      <c r="AV17" s="168">
        <f t="shared" si="2"/>
        <v>122.90002125444643</v>
      </c>
      <c r="AW17" s="168">
        <f t="shared" si="2"/>
        <v>-54.91261832930482</v>
      </c>
      <c r="AX17" s="168">
        <f t="shared" si="2"/>
        <v>-27.071829689038879</v>
      </c>
      <c r="AY17" s="168">
        <f t="shared" si="2"/>
        <v>302.71423945483178</v>
      </c>
      <c r="AZ17" s="168">
        <f t="shared" si="2"/>
        <v>23.761688225036714</v>
      </c>
      <c r="BA17" s="168">
        <f t="shared" si="2"/>
        <v>189.23715021818342</v>
      </c>
      <c r="BB17" s="168">
        <f t="shared" si="2"/>
        <v>211.70113398534323</v>
      </c>
      <c r="BC17" s="168">
        <f t="shared" si="2"/>
        <v>129.46911730616389</v>
      </c>
      <c r="BD17" s="168">
        <f t="shared" si="2"/>
        <v>190.66098410345222</v>
      </c>
      <c r="BE17" s="168">
        <f t="shared" si="2"/>
        <v>-20.850365096203568</v>
      </c>
      <c r="BF17" s="168">
        <f t="shared" si="2"/>
        <v>145.80590689623185</v>
      </c>
      <c r="BH17" s="13"/>
    </row>
    <row r="18" spans="1:67" x14ac:dyDescent="0.2">
      <c r="A18" s="169" t="s">
        <v>499</v>
      </c>
      <c r="B18" s="165"/>
      <c r="D18" s="13"/>
      <c r="BD18" s="13"/>
      <c r="BE18" s="13"/>
      <c r="BF18" s="13"/>
      <c r="BH18" s="13"/>
    </row>
    <row r="19" spans="1:67" x14ac:dyDescent="0.2">
      <c r="A19" s="169"/>
      <c r="B19" s="165"/>
      <c r="D19" s="13"/>
      <c r="BD19" s="13"/>
      <c r="BE19" s="13"/>
      <c r="BF19" s="13"/>
      <c r="BH19" s="13"/>
    </row>
    <row r="20" spans="1:67" x14ac:dyDescent="0.2">
      <c r="B20" s="165"/>
      <c r="D20" s="13"/>
      <c r="BD20" s="13"/>
      <c r="BE20" s="13"/>
      <c r="BF20" s="13"/>
      <c r="BH20" s="13"/>
    </row>
    <row r="21" spans="1:67" ht="15" x14ac:dyDescent="0.25">
      <c r="A21" s="7" t="s">
        <v>500</v>
      </c>
      <c r="B21" s="165"/>
      <c r="D21" s="13"/>
      <c r="BD21" s="13"/>
      <c r="BE21" s="13"/>
      <c r="BF21" s="13"/>
      <c r="BH21" s="13"/>
    </row>
    <row r="22" spans="1:67" x14ac:dyDescent="0.2">
      <c r="B22" s="165"/>
      <c r="D22" s="13"/>
      <c r="BD22" s="13"/>
      <c r="BE22" s="13"/>
      <c r="BF22" s="13"/>
      <c r="BH22" s="13"/>
    </row>
    <row r="23" spans="1:67" x14ac:dyDescent="0.2">
      <c r="A23" s="155" t="s">
        <v>501</v>
      </c>
      <c r="B23" s="156"/>
      <c r="C23" s="170">
        <v>90</v>
      </c>
      <c r="D23" s="171">
        <f>'Base de données indicateurs1'!BD54</f>
        <v>7304478.7700000005</v>
      </c>
      <c r="E23" s="172">
        <f>'Base de données indicateurs1'!E54</f>
        <v>297580.15000000002</v>
      </c>
      <c r="F23" s="172">
        <f>'Base de données indicateurs1'!F54</f>
        <v>166436.57</v>
      </c>
      <c r="G23" s="172">
        <f>'Base de données indicateurs1'!G54</f>
        <v>111420.26999999999</v>
      </c>
      <c r="H23" s="172">
        <f>'Base de données indicateurs1'!H54</f>
        <v>123375.72999999998</v>
      </c>
      <c r="I23" s="172">
        <f>'Base de données indicateurs1'!I54</f>
        <v>157637.65</v>
      </c>
      <c r="J23" s="172">
        <f>'Base de données indicateurs1'!J54</f>
        <v>276986.37</v>
      </c>
      <c r="K23" s="172">
        <f>'Base de données indicateurs1'!K54</f>
        <v>44346.45</v>
      </c>
      <c r="L23" s="172">
        <f>'Base de données indicateurs1'!L54</f>
        <v>-917826.7100000002</v>
      </c>
      <c r="M23" s="172">
        <f>'Base de données indicateurs1'!M54</f>
        <v>236485.23</v>
      </c>
      <c r="N23" s="172">
        <f>'Base de données indicateurs1'!N54</f>
        <v>-10368.879999999999</v>
      </c>
      <c r="O23" s="172">
        <f>'Base de données indicateurs1'!O54</f>
        <v>-386596.60000000003</v>
      </c>
      <c r="P23" s="172">
        <f>'Base de données indicateurs1'!P54</f>
        <v>194677.5</v>
      </c>
      <c r="Q23" s="172">
        <f>'Base de données indicateurs1'!Q54</f>
        <v>-15844.460000000003</v>
      </c>
      <c r="R23" s="172">
        <f>'Base de données indicateurs1'!R54</f>
        <v>2715.8899999999994</v>
      </c>
      <c r="S23" s="172">
        <f>'Base de données indicateurs1'!S54</f>
        <v>-63378.66</v>
      </c>
      <c r="T23" s="172">
        <f>'Base de données indicateurs1'!T54</f>
        <v>119770.75</v>
      </c>
      <c r="U23" s="172">
        <f>'Base de données indicateurs1'!U54</f>
        <v>28612.840000000004</v>
      </c>
      <c r="V23" s="172">
        <f>'Base de données indicateurs1'!V54</f>
        <v>53215.43</v>
      </c>
      <c r="W23" s="172">
        <f>'Base de données indicateurs1'!W54</f>
        <v>168872.27</v>
      </c>
      <c r="X23" s="172">
        <f>'Base de données indicateurs1'!X54</f>
        <v>59136.47</v>
      </c>
      <c r="Y23" s="172">
        <f>'Base de données indicateurs1'!Y54</f>
        <v>1087112.6300000001</v>
      </c>
      <c r="Z23" s="172">
        <f>'Base de données indicateurs1'!Z54</f>
        <v>2677168.89</v>
      </c>
      <c r="AA23" s="172">
        <f>'Base de données indicateurs1'!AA54</f>
        <v>15628.250000000002</v>
      </c>
      <c r="AB23" s="172">
        <f>'Base de données indicateurs1'!AB54</f>
        <v>-260378.03</v>
      </c>
      <c r="AC23" s="172">
        <f>'Base de données indicateurs1'!AC54</f>
        <v>11165.65</v>
      </c>
      <c r="AD23" s="172">
        <f>'Base de données indicateurs1'!AD54</f>
        <v>-16548.329999999998</v>
      </c>
      <c r="AE23" s="172">
        <f>'Base de données indicateurs1'!AE54</f>
        <v>78627.399999999994</v>
      </c>
      <c r="AF23" s="172">
        <f>'Base de données indicateurs1'!AF54</f>
        <v>1738725.46</v>
      </c>
      <c r="AG23" s="172">
        <f>'Base de données indicateurs1'!AG54</f>
        <v>577199.21</v>
      </c>
      <c r="AH23" s="172">
        <f>'Base de données indicateurs1'!AH54</f>
        <v>46554.49</v>
      </c>
      <c r="AI23" s="172">
        <f>'Base de données indicateurs1'!AI54</f>
        <v>105014.54</v>
      </c>
      <c r="AJ23" s="172">
        <f>'Base de données indicateurs1'!AJ54</f>
        <v>277222.27</v>
      </c>
      <c r="AK23" s="172">
        <f>'Base de données indicateurs1'!AK54</f>
        <v>18943.25</v>
      </c>
      <c r="AL23" s="172">
        <f>'Base de données indicateurs1'!AL54</f>
        <v>73198</v>
      </c>
      <c r="AM23" s="172">
        <f>'Base de données indicateurs1'!AM54</f>
        <v>-27239.480000000003</v>
      </c>
      <c r="AN23" s="172">
        <f>'Base de données indicateurs1'!AN54</f>
        <v>16790.869999999995</v>
      </c>
      <c r="AO23" s="172">
        <f>'Base de données indicateurs1'!AO54</f>
        <v>-467314.68</v>
      </c>
      <c r="AP23" s="172">
        <f>'Base de données indicateurs1'!AP54</f>
        <v>56336</v>
      </c>
      <c r="AQ23" s="172">
        <f>'Base de données indicateurs1'!AQ54</f>
        <v>113170.76</v>
      </c>
      <c r="AR23" s="172">
        <f>'Base de données indicateurs1'!AR54</f>
        <v>-171344.34</v>
      </c>
      <c r="AS23" s="172">
        <f>'Base de données indicateurs1'!AS54</f>
        <v>52413.51999999999</v>
      </c>
      <c r="AT23" s="172">
        <f>'Base de données indicateurs1'!AT54</f>
        <v>277298.86000000004</v>
      </c>
      <c r="AU23" s="172">
        <f>'Base de données indicateurs1'!AU54</f>
        <v>-160977.5</v>
      </c>
      <c r="AV23" s="172">
        <f>'Base de données indicateurs1'!AV54</f>
        <v>44645.22</v>
      </c>
      <c r="AW23" s="172">
        <f>'Base de données indicateurs1'!AW54</f>
        <v>435217.72000000003</v>
      </c>
      <c r="AX23" s="172">
        <f>'Base de données indicateurs1'!AX54</f>
        <v>-28207.760000000002</v>
      </c>
      <c r="AY23" s="172">
        <f>'Base de données indicateurs1'!AY54</f>
        <v>77645.3</v>
      </c>
      <c r="AZ23" s="172">
        <f>'Base de données indicateurs1'!AZ54</f>
        <v>6331.16</v>
      </c>
      <c r="BA23" s="172">
        <f>'Base de données indicateurs1'!BA54</f>
        <v>56246.89</v>
      </c>
      <c r="BB23" s="172">
        <f>'Base de données indicateurs1'!BB54</f>
        <v>-162273.97999999998</v>
      </c>
      <c r="BC23" s="172">
        <f>'Base de données indicateurs1'!BC54</f>
        <v>108852.26999999999</v>
      </c>
      <c r="BD23" s="13">
        <f t="shared" ref="BD23:BD32" si="3">SUM(E23:W23)</f>
        <v>588117.78999999969</v>
      </c>
      <c r="BE23" s="13">
        <f t="shared" ref="BE23:BE32" si="4">SUM(X23:AI23)</f>
        <v>6119406.6300000008</v>
      </c>
      <c r="BF23" s="13">
        <f t="shared" ref="BF23:BF32" si="5">SUM(AJ23:BC23)</f>
        <v>596954.35000000021</v>
      </c>
      <c r="BH23" s="13"/>
      <c r="BM23" s="13"/>
      <c r="BO23" s="13"/>
    </row>
    <row r="24" spans="1:67" x14ac:dyDescent="0.2">
      <c r="A24" s="158" t="s">
        <v>94</v>
      </c>
      <c r="B24" s="159" t="s">
        <v>221</v>
      </c>
      <c r="C24" s="158">
        <v>33</v>
      </c>
      <c r="D24" s="160">
        <f>'Base de données indicateurs1'!BD21</f>
        <v>24783612.750000004</v>
      </c>
      <c r="E24" s="13">
        <f>'Base de données indicateurs1'!E21</f>
        <v>271969.69</v>
      </c>
      <c r="F24" s="13">
        <f>'Base de données indicateurs1'!F21</f>
        <v>89135</v>
      </c>
      <c r="G24" s="13">
        <f>'Base de données indicateurs1'!G21</f>
        <v>78515.149999999994</v>
      </c>
      <c r="H24" s="13">
        <f>'Base de données indicateurs1'!H21</f>
        <v>135852.9</v>
      </c>
      <c r="I24" s="13">
        <f>'Base de données indicateurs1'!I21</f>
        <v>1007048.9</v>
      </c>
      <c r="J24" s="13">
        <f>'Base de données indicateurs1'!J21</f>
        <v>1027120.2799999999</v>
      </c>
      <c r="K24" s="13">
        <f>'Base de données indicateurs1'!K21</f>
        <v>584488.29999999993</v>
      </c>
      <c r="L24" s="13">
        <f>'Base de données indicateurs1'!L21</f>
        <v>6377739.1200000001</v>
      </c>
      <c r="M24" s="13">
        <f>'Base de données indicateurs1'!M21</f>
        <v>408424.05</v>
      </c>
      <c r="N24" s="13">
        <f>'Base de données indicateurs1'!N21</f>
        <v>61045.22</v>
      </c>
      <c r="O24" s="13">
        <f>'Base de données indicateurs1'!O21</f>
        <v>1500455.25</v>
      </c>
      <c r="P24" s="13">
        <f>'Base de données indicateurs1'!P21</f>
        <v>128942.3</v>
      </c>
      <c r="Q24" s="13">
        <f>'Base de données indicateurs1'!Q21</f>
        <v>15734</v>
      </c>
      <c r="R24" s="13">
        <f>'Base de données indicateurs1'!R21</f>
        <v>66919.41</v>
      </c>
      <c r="S24" s="13">
        <f>'Base de données indicateurs1'!S21</f>
        <v>76090.75</v>
      </c>
      <c r="T24" s="13">
        <f>'Base de données indicateurs1'!T21</f>
        <v>141025.94</v>
      </c>
      <c r="U24" s="13">
        <f>'Base de données indicateurs1'!U21</f>
        <v>40503.31</v>
      </c>
      <c r="V24" s="13">
        <f>'Base de données indicateurs1'!V21</f>
        <v>131731.53</v>
      </c>
      <c r="W24" s="13">
        <f>'Base de données indicateurs1'!W21</f>
        <v>967493.06</v>
      </c>
      <c r="X24" s="13">
        <f>'Base de données indicateurs1'!X21</f>
        <v>82974</v>
      </c>
      <c r="Y24" s="13">
        <f>'Base de données indicateurs1'!Y21</f>
        <v>313279.90000000002</v>
      </c>
      <c r="Z24" s="13">
        <f>'Base de données indicateurs1'!Z21</f>
        <v>511059.05</v>
      </c>
      <c r="AA24" s="13">
        <f>'Base de données indicateurs1'!AA21</f>
        <v>13768.27</v>
      </c>
      <c r="AB24" s="13">
        <f>'Base de données indicateurs1'!AB21</f>
        <v>101265.76999999999</v>
      </c>
      <c r="AC24" s="13">
        <f>'Base de données indicateurs1'!AC21</f>
        <v>343843.12</v>
      </c>
      <c r="AD24" s="13">
        <f>'Base de données indicateurs1'!AD21</f>
        <v>163879</v>
      </c>
      <c r="AE24" s="13">
        <f>'Base de données indicateurs1'!AE21</f>
        <v>106426.61</v>
      </c>
      <c r="AF24" s="13">
        <f>'Base de données indicateurs1'!AF21</f>
        <v>510622.45</v>
      </c>
      <c r="AG24" s="13">
        <f>'Base de données indicateurs1'!AG21</f>
        <v>851938.85</v>
      </c>
      <c r="AH24" s="13">
        <f>'Base de données indicateurs1'!AH21</f>
        <v>71808.899999999994</v>
      </c>
      <c r="AI24" s="13">
        <f>'Base de données indicateurs1'!AI21</f>
        <v>15168.64</v>
      </c>
      <c r="AJ24" s="13">
        <f>'Base de données indicateurs1'!AJ21</f>
        <v>438356.4</v>
      </c>
      <c r="AK24" s="13">
        <f>'Base de données indicateurs1'!AK21</f>
        <v>353864.8</v>
      </c>
      <c r="AL24" s="13">
        <f>'Base de données indicateurs1'!AL21</f>
        <v>303565</v>
      </c>
      <c r="AM24" s="13">
        <f>'Base de données indicateurs1'!AM21</f>
        <v>42916</v>
      </c>
      <c r="AN24" s="13">
        <f>'Base de données indicateurs1'!AN21</f>
        <v>643825.06999999995</v>
      </c>
      <c r="AO24" s="13">
        <f>'Base de données indicateurs1'!AO21</f>
        <v>109400</v>
      </c>
      <c r="AP24" s="13">
        <f>'Base de données indicateurs1'!AP21</f>
        <v>446741.61</v>
      </c>
      <c r="AQ24" s="13">
        <f>'Base de données indicateurs1'!AQ21</f>
        <v>211824.45</v>
      </c>
      <c r="AR24" s="13">
        <f>'Base de données indicateurs1'!AR21</f>
        <v>155650</v>
      </c>
      <c r="AS24" s="13">
        <f>'Base de données indicateurs1'!AS21</f>
        <v>254126</v>
      </c>
      <c r="AT24" s="13">
        <f>'Base de données indicateurs1'!AT21</f>
        <v>70603.75</v>
      </c>
      <c r="AU24" s="13">
        <f>'Base de données indicateurs1'!AU21</f>
        <v>748621.20000000007</v>
      </c>
      <c r="AV24" s="13">
        <f>'Base de données indicateurs1'!AV21</f>
        <v>118961.96</v>
      </c>
      <c r="AW24" s="13">
        <f>'Base de données indicateurs1'!AW21</f>
        <v>78732.3</v>
      </c>
      <c r="AX24" s="13">
        <f>'Base de données indicateurs1'!AX21</f>
        <v>172965</v>
      </c>
      <c r="AY24" s="13">
        <f>'Base de données indicateurs1'!AY21</f>
        <v>576965.05000000005</v>
      </c>
      <c r="AZ24" s="13">
        <f>'Base de données indicateurs1'!AZ21</f>
        <v>99864.95</v>
      </c>
      <c r="BA24" s="13">
        <f>'Base de données indicateurs1'!BA21</f>
        <v>435547.35000000003</v>
      </c>
      <c r="BB24" s="13">
        <f>'Base de données indicateurs1'!BB21</f>
        <v>3232513.1399999997</v>
      </c>
      <c r="BC24" s="13">
        <f>'Base de données indicateurs1'!BC21</f>
        <v>92300</v>
      </c>
      <c r="BD24" s="13">
        <f t="shared" si="3"/>
        <v>13110234.160000002</v>
      </c>
      <c r="BE24" s="13">
        <f t="shared" si="4"/>
        <v>3086034.56</v>
      </c>
      <c r="BF24" s="13">
        <f t="shared" si="5"/>
        <v>8587344.0299999993</v>
      </c>
      <c r="BH24" s="13"/>
      <c r="BM24" s="13"/>
      <c r="BO24" s="13"/>
    </row>
    <row r="25" spans="1:67" x14ac:dyDescent="0.2">
      <c r="A25" s="158" t="s">
        <v>223</v>
      </c>
      <c r="B25" s="159" t="s">
        <v>221</v>
      </c>
      <c r="C25" s="158">
        <v>35</v>
      </c>
      <c r="D25" s="160">
        <f>'Base de données indicateurs1'!BD25</f>
        <v>5157290.8100000005</v>
      </c>
      <c r="E25" s="13">
        <f>'Base de données indicateurs1'!E25</f>
        <v>9169.5499999999993</v>
      </c>
      <c r="F25" s="13">
        <f>'Base de données indicateurs1'!F25</f>
        <v>18787.240000000002</v>
      </c>
      <c r="G25" s="13">
        <f>'Base de données indicateurs1'!G25</f>
        <v>64197.5</v>
      </c>
      <c r="H25" s="13">
        <f>'Base de données indicateurs1'!H25</f>
        <v>0</v>
      </c>
      <c r="I25" s="13">
        <f>'Base de données indicateurs1'!I25</f>
        <v>433297.06</v>
      </c>
      <c r="J25" s="13">
        <f>'Base de données indicateurs1'!J25</f>
        <v>191890.75</v>
      </c>
      <c r="K25" s="13">
        <f>'Base de données indicateurs1'!K25</f>
        <v>214405.7</v>
      </c>
      <c r="L25" s="13">
        <f>'Base de données indicateurs1'!L25</f>
        <v>0</v>
      </c>
      <c r="M25" s="13">
        <f>'Base de données indicateurs1'!M25</f>
        <v>104202.19</v>
      </c>
      <c r="N25" s="13">
        <f>'Base de données indicateurs1'!N25</f>
        <v>9500</v>
      </c>
      <c r="O25" s="13">
        <f>'Base de données indicateurs1'!O25</f>
        <v>1015205.85</v>
      </c>
      <c r="P25" s="13">
        <f>'Base de données indicateurs1'!P25</f>
        <v>0</v>
      </c>
      <c r="Q25" s="13">
        <f>'Base de données indicateurs1'!Q25</f>
        <v>0</v>
      </c>
      <c r="R25" s="13">
        <f>'Base de données indicateurs1'!R25</f>
        <v>126370</v>
      </c>
      <c r="S25" s="13">
        <f>'Base de données indicateurs1'!S25</f>
        <v>97828</v>
      </c>
      <c r="T25" s="13">
        <f>'Base de données indicateurs1'!T25</f>
        <v>94394</v>
      </c>
      <c r="U25" s="13">
        <f>'Base de données indicateurs1'!U25</f>
        <v>4808.45</v>
      </c>
      <c r="V25" s="13">
        <f>'Base de données indicateurs1'!V25</f>
        <v>0</v>
      </c>
      <c r="W25" s="13">
        <f>'Base de données indicateurs1'!W25</f>
        <v>0</v>
      </c>
      <c r="X25" s="13">
        <f>'Base de données indicateurs1'!X25</f>
        <v>51812.1</v>
      </c>
      <c r="Y25" s="13">
        <f>'Base de données indicateurs1'!Y25</f>
        <v>1564.35</v>
      </c>
      <c r="Z25" s="13">
        <f>'Base de données indicateurs1'!Z25</f>
        <v>135879.62</v>
      </c>
      <c r="AA25" s="13">
        <f>'Base de données indicateurs1'!AA25</f>
        <v>6071</v>
      </c>
      <c r="AB25" s="13">
        <f>'Base de données indicateurs1'!AB25</f>
        <v>68838</v>
      </c>
      <c r="AC25" s="13">
        <f>'Base de données indicateurs1'!AC25</f>
        <v>6587</v>
      </c>
      <c r="AD25" s="13">
        <f>'Base de données indicateurs1'!AD25</f>
        <v>3878.14</v>
      </c>
      <c r="AE25" s="13">
        <f>'Base de données indicateurs1'!AE25</f>
        <v>20257.45</v>
      </c>
      <c r="AF25" s="13">
        <f>'Base de données indicateurs1'!AF25</f>
        <v>68654.45</v>
      </c>
      <c r="AG25" s="13">
        <f>'Base de données indicateurs1'!AG25</f>
        <v>112273.62</v>
      </c>
      <c r="AH25" s="13">
        <f>'Base de données indicateurs1'!AH25</f>
        <v>1143.8</v>
      </c>
      <c r="AI25" s="13">
        <f>'Base de données indicateurs1'!AI25</f>
        <v>3530.75</v>
      </c>
      <c r="AJ25" s="13">
        <f>'Base de données indicateurs1'!AJ25</f>
        <v>228874.55</v>
      </c>
      <c r="AK25" s="13">
        <f>'Base de données indicateurs1'!AK25</f>
        <v>174342.2</v>
      </c>
      <c r="AL25" s="13">
        <f>'Base de données indicateurs1'!AL25</f>
        <v>80358.820000000007</v>
      </c>
      <c r="AM25" s="13">
        <f>'Base de données indicateurs1'!AM25</f>
        <v>0</v>
      </c>
      <c r="AN25" s="13">
        <f>'Base de données indicateurs1'!AN25</f>
        <v>0</v>
      </c>
      <c r="AO25" s="13">
        <f>'Base de données indicateurs1'!AO25</f>
        <v>13297.81</v>
      </c>
      <c r="AP25" s="13">
        <f>'Base de données indicateurs1'!AP25</f>
        <v>2175</v>
      </c>
      <c r="AQ25" s="13">
        <f>'Base de données indicateurs1'!AQ25</f>
        <v>122673.8</v>
      </c>
      <c r="AR25" s="13">
        <f>'Base de données indicateurs1'!AR25</f>
        <v>19646.849999999999</v>
      </c>
      <c r="AS25" s="13">
        <f>'Base de données indicateurs1'!AS25</f>
        <v>162563.9</v>
      </c>
      <c r="AT25" s="13">
        <f>'Base de données indicateurs1'!AT25</f>
        <v>25295.75</v>
      </c>
      <c r="AU25" s="13">
        <f>'Base de données indicateurs1'!AU25</f>
        <v>227535.97</v>
      </c>
      <c r="AV25" s="13">
        <f>'Base de données indicateurs1'!AV25</f>
        <v>13924</v>
      </c>
      <c r="AW25" s="13">
        <f>'Base de données indicateurs1'!AW25</f>
        <v>37555.01</v>
      </c>
      <c r="AX25" s="13">
        <f>'Base de données indicateurs1'!AX25</f>
        <v>254.82</v>
      </c>
      <c r="AY25" s="13">
        <f>'Base de données indicateurs1'!AY25</f>
        <v>7325.7</v>
      </c>
      <c r="AZ25" s="13">
        <f>'Base de données indicateurs1'!AZ25</f>
        <v>159180.69</v>
      </c>
      <c r="BA25" s="13">
        <f>'Base de données indicateurs1'!BA25</f>
        <v>23417.32</v>
      </c>
      <c r="BB25" s="13">
        <f>'Base de données indicateurs1'!BB25</f>
        <v>986875</v>
      </c>
      <c r="BC25" s="13">
        <f>'Base de données indicateurs1'!BC25</f>
        <v>7447.05</v>
      </c>
      <c r="BD25" s="13">
        <f t="shared" si="3"/>
        <v>2384056.29</v>
      </c>
      <c r="BE25" s="13">
        <f t="shared" si="4"/>
        <v>480490.28</v>
      </c>
      <c r="BF25" s="13">
        <f t="shared" si="5"/>
        <v>2292744.2400000002</v>
      </c>
      <c r="BH25" s="13"/>
      <c r="BM25" s="13"/>
      <c r="BO25" s="13"/>
    </row>
    <row r="26" spans="1:67" x14ac:dyDescent="0.2">
      <c r="A26" s="158" t="s">
        <v>170</v>
      </c>
      <c r="B26" s="159" t="s">
        <v>222</v>
      </c>
      <c r="C26" s="158">
        <v>45</v>
      </c>
      <c r="D26" s="160">
        <f>'Base de données indicateurs1'!BD47</f>
        <v>2705214.36</v>
      </c>
      <c r="E26" s="13">
        <f>'Base de données indicateurs1'!E47</f>
        <v>12959.55</v>
      </c>
      <c r="F26" s="13">
        <f>'Base de données indicateurs1'!F47</f>
        <v>0</v>
      </c>
      <c r="G26" s="13">
        <f>'Base de données indicateurs1'!G47</f>
        <v>12408.2</v>
      </c>
      <c r="H26" s="13">
        <f>'Base de données indicateurs1'!H47</f>
        <v>40836.5</v>
      </c>
      <c r="I26" s="13">
        <f>'Base de données indicateurs1'!I47</f>
        <v>184415.3</v>
      </c>
      <c r="J26" s="13">
        <f>'Base de données indicateurs1'!J47</f>
        <v>87595.03</v>
      </c>
      <c r="K26" s="13">
        <f>'Base de données indicateurs1'!K47</f>
        <v>71539.899999999994</v>
      </c>
      <c r="L26" s="13">
        <f>'Base de données indicateurs1'!L47</f>
        <v>316084.8</v>
      </c>
      <c r="M26" s="13">
        <f>'Base de données indicateurs1'!M47</f>
        <v>284011.98000000004</v>
      </c>
      <c r="N26" s="13">
        <f>'Base de données indicateurs1'!N47</f>
        <v>0</v>
      </c>
      <c r="O26" s="13">
        <f>'Base de données indicateurs1'!O47</f>
        <v>348996.55</v>
      </c>
      <c r="P26" s="13">
        <f>'Base de données indicateurs1'!P47</f>
        <v>0</v>
      </c>
      <c r="Q26" s="13">
        <f>'Base de données indicateurs1'!Q47</f>
        <v>2509.4</v>
      </c>
      <c r="R26" s="13">
        <f>'Base de données indicateurs1'!R47</f>
        <v>9182.09</v>
      </c>
      <c r="S26" s="13">
        <f>'Base de données indicateurs1'!S47</f>
        <v>41726.49</v>
      </c>
      <c r="T26" s="13">
        <f>'Base de données indicateurs1'!T47</f>
        <v>31579.35</v>
      </c>
      <c r="U26" s="13">
        <f>'Base de données indicateurs1'!U47</f>
        <v>684</v>
      </c>
      <c r="V26" s="13">
        <f>'Base de données indicateurs1'!V47</f>
        <v>0</v>
      </c>
      <c r="W26" s="13">
        <f>'Base de données indicateurs1'!W47</f>
        <v>8327.75</v>
      </c>
      <c r="X26" s="13">
        <f>'Base de données indicateurs1'!X47</f>
        <v>0</v>
      </c>
      <c r="Y26" s="13">
        <f>'Base de données indicateurs1'!Y47</f>
        <v>6179.2</v>
      </c>
      <c r="Z26" s="13">
        <f>'Base de données indicateurs1'!Z47</f>
        <v>13096.9</v>
      </c>
      <c r="AA26" s="13">
        <f>'Base de données indicateurs1'!AA47</f>
        <v>398.7</v>
      </c>
      <c r="AB26" s="13">
        <f>'Base de données indicateurs1'!AB47</f>
        <v>1284.8499999999999</v>
      </c>
      <c r="AC26" s="13">
        <f>'Base de données indicateurs1'!AC47</f>
        <v>46371.15</v>
      </c>
      <c r="AD26" s="13">
        <f>'Base de données indicateurs1'!AD47</f>
        <v>1378.25</v>
      </c>
      <c r="AE26" s="13">
        <f>'Base de données indicateurs1'!AE47</f>
        <v>45822.15</v>
      </c>
      <c r="AF26" s="13">
        <f>'Base de données indicateurs1'!AF47</f>
        <v>126132.09999999999</v>
      </c>
      <c r="AG26" s="13">
        <f>'Base de données indicateurs1'!AG47</f>
        <v>6496.9</v>
      </c>
      <c r="AH26" s="13">
        <f>'Base de données indicateurs1'!AH47</f>
        <v>16545.91</v>
      </c>
      <c r="AI26" s="13">
        <f>'Base de données indicateurs1'!AI47</f>
        <v>0</v>
      </c>
      <c r="AJ26" s="13">
        <f>'Base de données indicateurs1'!AJ47</f>
        <v>0</v>
      </c>
      <c r="AK26" s="13">
        <f>'Base de données indicateurs1'!AK47</f>
        <v>13097.88</v>
      </c>
      <c r="AL26" s="13">
        <f>'Base de données indicateurs1'!AL47</f>
        <v>0</v>
      </c>
      <c r="AM26" s="13">
        <f>'Base de données indicateurs1'!AM47</f>
        <v>296.2</v>
      </c>
      <c r="AN26" s="13">
        <f>'Base de données indicateurs1'!AN47</f>
        <v>8161.2</v>
      </c>
      <c r="AO26" s="13">
        <f>'Base de données indicateurs1'!AO47</f>
        <v>8677.7000000000007</v>
      </c>
      <c r="AP26" s="13">
        <f>'Base de données indicateurs1'!AP47</f>
        <v>0</v>
      </c>
      <c r="AQ26" s="13">
        <f>'Base de données indicateurs1'!AQ47</f>
        <v>103706.15</v>
      </c>
      <c r="AR26" s="13">
        <f>'Base de données indicateurs1'!AR47</f>
        <v>58981.45</v>
      </c>
      <c r="AS26" s="13">
        <f>'Base de données indicateurs1'!AS47</f>
        <v>41223.299999999996</v>
      </c>
      <c r="AT26" s="13">
        <f>'Base de données indicateurs1'!AT47</f>
        <v>897.75</v>
      </c>
      <c r="AU26" s="13">
        <f>'Base de données indicateurs1'!AU47</f>
        <v>223847.56999999998</v>
      </c>
      <c r="AV26" s="13">
        <f>'Base de données indicateurs1'!AV47</f>
        <v>2013.8</v>
      </c>
      <c r="AW26" s="13">
        <f>'Base de données indicateurs1'!AW47</f>
        <v>97720.65</v>
      </c>
      <c r="AX26" s="13">
        <f>'Base de données indicateurs1'!AX47</f>
        <v>839.75</v>
      </c>
      <c r="AY26" s="13">
        <f>'Base de données indicateurs1'!AY47</f>
        <v>4225.2</v>
      </c>
      <c r="AZ26" s="13">
        <f>'Base de données indicateurs1'!AZ47</f>
        <v>86277.54</v>
      </c>
      <c r="BA26" s="13">
        <f>'Base de données indicateurs1'!BA47</f>
        <v>105653.5</v>
      </c>
      <c r="BB26" s="13">
        <f>'Base de données indicateurs1'!BB47</f>
        <v>232911.72</v>
      </c>
      <c r="BC26" s="13">
        <f>'Base de données indicateurs1'!BC47</f>
        <v>120</v>
      </c>
      <c r="BD26" s="13">
        <f t="shared" si="3"/>
        <v>1452856.8900000001</v>
      </c>
      <c r="BE26" s="13">
        <f t="shared" si="4"/>
        <v>263706.11</v>
      </c>
      <c r="BF26" s="13">
        <f t="shared" si="5"/>
        <v>988651.35999999987</v>
      </c>
      <c r="BH26" s="13"/>
      <c r="BM26" s="13"/>
      <c r="BO26" s="13"/>
    </row>
    <row r="27" spans="1:67" x14ac:dyDescent="0.2">
      <c r="A27" s="158" t="s">
        <v>502</v>
      </c>
      <c r="B27" s="159" t="s">
        <v>221</v>
      </c>
      <c r="C27" s="158">
        <v>364</v>
      </c>
      <c r="D27" s="160">
        <f>'Base de données indicateurs1'!BD29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 t="shared" si="3"/>
        <v>0</v>
      </c>
      <c r="BE27" s="13">
        <f t="shared" si="4"/>
        <v>0</v>
      </c>
      <c r="BF27" s="13">
        <f t="shared" si="5"/>
        <v>0</v>
      </c>
      <c r="BH27" s="13"/>
      <c r="BM27" s="13"/>
      <c r="BO27" s="13"/>
    </row>
    <row r="28" spans="1:67" x14ac:dyDescent="0.2">
      <c r="A28" s="158" t="s">
        <v>503</v>
      </c>
      <c r="B28" s="159" t="s">
        <v>221</v>
      </c>
      <c r="C28" s="158">
        <v>365</v>
      </c>
      <c r="D28" s="160">
        <f>'Base de données indicateurs1'!BD30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13000</v>
      </c>
      <c r="AZ28" s="13">
        <f>'Base de données indicateurs1'!AZ30</f>
        <v>0</v>
      </c>
      <c r="BA28" s="13">
        <f>'Base de données indicateurs1'!BA30</f>
        <v>0</v>
      </c>
      <c r="BB28" s="13">
        <f>'Base de données indicateurs1'!BB30</f>
        <v>0</v>
      </c>
      <c r="BC28" s="13">
        <f>'Base de données indicateurs1'!BC30</f>
        <v>0</v>
      </c>
      <c r="BD28" s="13">
        <f t="shared" si="3"/>
        <v>8100</v>
      </c>
      <c r="BE28" s="13">
        <f t="shared" si="4"/>
        <v>0</v>
      </c>
      <c r="BF28" s="13">
        <f t="shared" si="5"/>
        <v>13000</v>
      </c>
      <c r="BH28" s="13"/>
      <c r="BM28" s="13"/>
      <c r="BO28" s="13"/>
    </row>
    <row r="29" spans="1:67" x14ac:dyDescent="0.2">
      <c r="A29" s="158" t="s">
        <v>504</v>
      </c>
      <c r="B29" s="159" t="s">
        <v>221</v>
      </c>
      <c r="C29" s="158">
        <v>366</v>
      </c>
      <c r="D29" s="160">
        <f>'Base de données indicateurs1'!BD31</f>
        <v>904263.03000000014</v>
      </c>
      <c r="E29" s="13">
        <f>'Base de données indicateurs1'!E31</f>
        <v>7905.29</v>
      </c>
      <c r="F29" s="13">
        <f>'Base de données indicateurs1'!F31</f>
        <v>0</v>
      </c>
      <c r="G29" s="13">
        <f>'Base de données indicateurs1'!G31</f>
        <v>0</v>
      </c>
      <c r="H29" s="13">
        <f>'Base de données indicateurs1'!H31</f>
        <v>2572.4499999999998</v>
      </c>
      <c r="I29" s="13">
        <f>'Base de données indicateurs1'!I31</f>
        <v>166396.6</v>
      </c>
      <c r="J29" s="13">
        <f>'Base de données indicateurs1'!J31</f>
        <v>0</v>
      </c>
      <c r="K29" s="13">
        <f>'Base de données indicateurs1'!K31</f>
        <v>14467.75</v>
      </c>
      <c r="L29" s="13">
        <f>'Base de données indicateurs1'!L31</f>
        <v>603909</v>
      </c>
      <c r="M29" s="13">
        <f>'Base de données indicateurs1'!M31</f>
        <v>10700</v>
      </c>
      <c r="N29" s="13">
        <f>'Base de données indicateurs1'!N31</f>
        <v>0</v>
      </c>
      <c r="O29" s="13">
        <f>'Base de données indicateurs1'!O31</f>
        <v>74430.89</v>
      </c>
      <c r="P29" s="13">
        <f>'Base de données indicateurs1'!P31</f>
        <v>3001.3</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607</v>
      </c>
      <c r="AP29" s="13">
        <f>'Base de données indicateurs1'!AP31</f>
        <v>567</v>
      </c>
      <c r="AQ29" s="13">
        <f>'Base de données indicateurs1'!AQ31</f>
        <v>0</v>
      </c>
      <c r="AR29" s="13">
        <f>'Base de données indicateurs1'!AR31</f>
        <v>422</v>
      </c>
      <c r="AS29" s="13">
        <f>'Base de données indicateurs1'!AS31</f>
        <v>0</v>
      </c>
      <c r="AT29" s="13">
        <f>'Base de données indicateurs1'!AT31</f>
        <v>338</v>
      </c>
      <c r="AU29" s="13">
        <f>'Base de données indicateurs1'!AU31</f>
        <v>0</v>
      </c>
      <c r="AV29" s="13">
        <f>'Base de données indicateurs1'!AV31</f>
        <v>633</v>
      </c>
      <c r="AW29" s="13">
        <f>'Base de données indicateurs1'!AW31</f>
        <v>442</v>
      </c>
      <c r="AX29" s="13">
        <f>'Base de données indicateurs1'!AX31</f>
        <v>311</v>
      </c>
      <c r="AY29" s="13">
        <f>'Base de données indicateurs1'!AY31</f>
        <v>1597</v>
      </c>
      <c r="AZ29" s="13">
        <f>'Base de données indicateurs1'!AZ31</f>
        <v>319</v>
      </c>
      <c r="BA29" s="13">
        <f>'Base de données indicateurs1'!BA31</f>
        <v>1083.4000000000001</v>
      </c>
      <c r="BB29" s="13">
        <f>'Base de données indicateurs1'!BB31</f>
        <v>0</v>
      </c>
      <c r="BC29" s="13">
        <f>'Base de données indicateurs1'!BC31</f>
        <v>590</v>
      </c>
      <c r="BD29" s="13">
        <f t="shared" si="3"/>
        <v>897353.63000000012</v>
      </c>
      <c r="BE29" s="13">
        <f t="shared" si="4"/>
        <v>0</v>
      </c>
      <c r="BF29" s="13">
        <f t="shared" si="5"/>
        <v>6909.4</v>
      </c>
      <c r="BH29" s="13"/>
      <c r="BM29" s="13"/>
      <c r="BO29" s="13"/>
    </row>
    <row r="30" spans="1:67" x14ac:dyDescent="0.2">
      <c r="A30" s="158" t="s">
        <v>505</v>
      </c>
      <c r="B30" s="159" t="s">
        <v>221</v>
      </c>
      <c r="C30" s="158">
        <v>389</v>
      </c>
      <c r="D30" s="160">
        <f>'Base de données indicateurs1'!BD32</f>
        <v>11704072.629999999</v>
      </c>
      <c r="E30" s="13">
        <f>'Base de données indicateurs1'!E32</f>
        <v>0</v>
      </c>
      <c r="F30" s="13">
        <f>'Base de données indicateurs1'!F32</f>
        <v>0</v>
      </c>
      <c r="G30" s="13">
        <f>'Base de données indicateurs1'!G32</f>
        <v>0</v>
      </c>
      <c r="H30" s="13">
        <f>'Base de données indicateurs1'!H32</f>
        <v>0</v>
      </c>
      <c r="I30" s="13">
        <f>'Base de données indicateurs1'!I32</f>
        <v>150000</v>
      </c>
      <c r="J30" s="13">
        <f>'Base de données indicateurs1'!J32</f>
        <v>190359.86</v>
      </c>
      <c r="K30" s="13">
        <f>'Base de données indicateurs1'!K32</f>
        <v>900000</v>
      </c>
      <c r="L30" s="13">
        <f>'Base de données indicateurs1'!L32</f>
        <v>0</v>
      </c>
      <c r="M30" s="13">
        <f>'Base de données indicateurs1'!M32</f>
        <v>0</v>
      </c>
      <c r="N30" s="13">
        <f>'Base de données indicateurs1'!N32</f>
        <v>0</v>
      </c>
      <c r="O30" s="13">
        <f>'Base de données indicateurs1'!O32</f>
        <v>0</v>
      </c>
      <c r="P30" s="13">
        <f>'Base de données indicateurs1'!P32</f>
        <v>0</v>
      </c>
      <c r="Q30" s="13">
        <f>'Base de données indicateurs1'!Q32</f>
        <v>0</v>
      </c>
      <c r="R30" s="13">
        <f>'Base de données indicateurs1'!R32</f>
        <v>130000</v>
      </c>
      <c r="S30" s="13">
        <f>'Base de données indicateurs1'!S32</f>
        <v>0</v>
      </c>
      <c r="T30" s="13">
        <f>'Base de données indicateurs1'!T32</f>
        <v>0</v>
      </c>
      <c r="U30" s="13">
        <f>'Base de données indicateurs1'!U32</f>
        <v>20000</v>
      </c>
      <c r="V30" s="13">
        <f>'Base de données indicateurs1'!V32</f>
        <v>30000</v>
      </c>
      <c r="W30" s="13">
        <f>'Base de données indicateurs1'!W32</f>
        <v>500000</v>
      </c>
      <c r="X30" s="13">
        <f>'Base de données indicateurs1'!X32</f>
        <v>0</v>
      </c>
      <c r="Y30" s="13">
        <f>'Base de données indicateurs1'!Y32</f>
        <v>0</v>
      </c>
      <c r="Z30" s="13">
        <f>'Base de données indicateurs1'!Z32</f>
        <v>3397569.32</v>
      </c>
      <c r="AA30" s="13">
        <f>'Base de données indicateurs1'!AA32</f>
        <v>0</v>
      </c>
      <c r="AB30" s="13">
        <f>'Base de données indicateurs1'!AB32</f>
        <v>0</v>
      </c>
      <c r="AC30" s="13">
        <f>'Base de données indicateurs1'!AC32</f>
        <v>371205.37</v>
      </c>
      <c r="AD30" s="13">
        <f>'Base de données indicateurs1'!AD32</f>
        <v>0</v>
      </c>
      <c r="AE30" s="13">
        <f>'Base de données indicateurs1'!AE32</f>
        <v>460000</v>
      </c>
      <c r="AF30" s="13">
        <f>'Base de données indicateurs1'!AF32</f>
        <v>0</v>
      </c>
      <c r="AG30" s="13">
        <f>'Base de données indicateurs1'!AG32</f>
        <v>900000</v>
      </c>
      <c r="AH30" s="13">
        <f>'Base de données indicateurs1'!AH32</f>
        <v>0</v>
      </c>
      <c r="AI30" s="13">
        <f>'Base de données indicateurs1'!AI32</f>
        <v>80000</v>
      </c>
      <c r="AJ30" s="13">
        <f>'Base de données indicateurs1'!AJ32</f>
        <v>470300.7</v>
      </c>
      <c r="AK30" s="13">
        <f>'Base de données indicateurs1'!AK32</f>
        <v>723729.2</v>
      </c>
      <c r="AL30" s="13">
        <f>'Base de données indicateurs1'!AL32</f>
        <v>0</v>
      </c>
      <c r="AM30" s="13">
        <f>'Base de données indicateurs1'!AM32</f>
        <v>15690.5</v>
      </c>
      <c r="AN30" s="13">
        <f>'Base de données indicateurs1'!AN32</f>
        <v>2170000</v>
      </c>
      <c r="AO30" s="13">
        <f>'Base de données indicateurs1'!AO32</f>
        <v>0</v>
      </c>
      <c r="AP30" s="13">
        <f>'Base de données indicateurs1'!AP32</f>
        <v>250000</v>
      </c>
      <c r="AQ30" s="13">
        <f>'Base de données indicateurs1'!AQ32</f>
        <v>115000</v>
      </c>
      <c r="AR30" s="13">
        <f>'Base de données indicateurs1'!AR32</f>
        <v>217.68</v>
      </c>
      <c r="AS30" s="13">
        <f>'Base de données indicateurs1'!AS32</f>
        <v>0</v>
      </c>
      <c r="AT30" s="13">
        <f>'Base de données indicateurs1'!AT32</f>
        <v>300000</v>
      </c>
      <c r="AU30" s="13">
        <f>'Base de données indicateurs1'!AU32</f>
        <v>0</v>
      </c>
      <c r="AV30" s="13">
        <f>'Base de données indicateurs1'!AV32</f>
        <v>200000</v>
      </c>
      <c r="AW30" s="13">
        <f>'Base de données indicateurs1'!AW32</f>
        <v>0</v>
      </c>
      <c r="AX30" s="13">
        <f>'Base de données indicateurs1'!AX32</f>
        <v>0</v>
      </c>
      <c r="AY30" s="13">
        <f>'Base de données indicateurs1'!AY32</f>
        <v>250000</v>
      </c>
      <c r="AZ30" s="13">
        <f>'Base de données indicateurs1'!AZ32</f>
        <v>0</v>
      </c>
      <c r="BA30" s="13">
        <f>'Base de données indicateurs1'!BA32</f>
        <v>0</v>
      </c>
      <c r="BB30" s="13">
        <f>'Base de données indicateurs1'!BB32</f>
        <v>0</v>
      </c>
      <c r="BC30" s="13">
        <f>'Base de données indicateurs1'!BC32</f>
        <v>80000</v>
      </c>
      <c r="BD30" s="13">
        <f t="shared" si="3"/>
        <v>1920359.8599999999</v>
      </c>
      <c r="BE30" s="13">
        <f t="shared" si="4"/>
        <v>5208774.6899999995</v>
      </c>
      <c r="BF30" s="13">
        <f t="shared" si="5"/>
        <v>4574938.08</v>
      </c>
      <c r="BH30" s="13"/>
      <c r="BM30" s="13"/>
      <c r="BO30" s="13"/>
    </row>
    <row r="31" spans="1:67" x14ac:dyDescent="0.2">
      <c r="A31" s="158" t="s">
        <v>229</v>
      </c>
      <c r="B31" s="159" t="s">
        <v>222</v>
      </c>
      <c r="C31" s="158">
        <v>489</v>
      </c>
      <c r="D31" s="160">
        <f>'Base de données indicateurs1'!BD51</f>
        <v>1899119.4600000002</v>
      </c>
      <c r="E31" s="13">
        <f>'Base de données indicateurs1'!E51</f>
        <v>7472.87</v>
      </c>
      <c r="F31" s="13">
        <f>'Base de données indicateurs1'!F51</f>
        <v>0</v>
      </c>
      <c r="G31" s="13">
        <f>'Base de données indicateurs1'!G51</f>
        <v>0</v>
      </c>
      <c r="H31" s="13">
        <f>'Base de données indicateurs1'!H51</f>
        <v>2572.4499999999998</v>
      </c>
      <c r="I31" s="13">
        <f>'Base de données indicateurs1'!I51</f>
        <v>164654.79999999999</v>
      </c>
      <c r="J31" s="13">
        <f>'Base de données indicateurs1'!J51</f>
        <v>0</v>
      </c>
      <c r="K31" s="13">
        <f>'Base de données indicateurs1'!K51</f>
        <v>14467.75</v>
      </c>
      <c r="L31" s="13">
        <f>'Base de données indicateurs1'!L51</f>
        <v>1253909</v>
      </c>
      <c r="M31" s="13">
        <f>'Base de données indicateurs1'!M51</f>
        <v>10700</v>
      </c>
      <c r="N31" s="13">
        <f>'Base de données indicateurs1'!N51</f>
        <v>0</v>
      </c>
      <c r="O31" s="13">
        <f>'Base de données indicateurs1'!O51</f>
        <v>413099.54</v>
      </c>
      <c r="P31" s="13">
        <f>'Base de données indicateurs1'!P51</f>
        <v>3001.3</v>
      </c>
      <c r="Q31" s="13">
        <f>'Base de données indicateurs1'!Q51</f>
        <v>0</v>
      </c>
      <c r="R31" s="13">
        <f>'Base de données indicateurs1'!R51</f>
        <v>0</v>
      </c>
      <c r="S31" s="13">
        <f>'Base de données indicateurs1'!S51</f>
        <v>0</v>
      </c>
      <c r="T31" s="13">
        <f>'Base de données indicateurs1'!T51</f>
        <v>8700</v>
      </c>
      <c r="U31" s="13">
        <f>'Base de données indicateurs1'!U51</f>
        <v>667.55</v>
      </c>
      <c r="V31" s="13">
        <f>'Base de données indicateurs1'!V51</f>
        <v>0</v>
      </c>
      <c r="W31" s="13">
        <f>'Base de données indicateurs1'!W51</f>
        <v>13302.8</v>
      </c>
      <c r="X31" s="13">
        <f>'Base de données indicateurs1'!X51</f>
        <v>0</v>
      </c>
      <c r="Y31" s="13">
        <f>'Base de données indicateurs1'!Y51</f>
        <v>0</v>
      </c>
      <c r="Z31" s="13">
        <f>'Base de données indicateurs1'!Z51</f>
        <v>0</v>
      </c>
      <c r="AA31" s="13">
        <f>'Base de données indicateurs1'!AA51</f>
        <v>0</v>
      </c>
      <c r="AB31" s="13">
        <f>'Base de données indicateurs1'!AB51</f>
        <v>0</v>
      </c>
      <c r="AC31" s="13">
        <f>'Base de données indicateurs1'!AC51</f>
        <v>0</v>
      </c>
      <c r="AD31" s="13">
        <f>'Base de données indicateurs1'!AD51</f>
        <v>0</v>
      </c>
      <c r="AE31" s="13">
        <f>'Base de données indicateurs1'!AE51</f>
        <v>0</v>
      </c>
      <c r="AF31" s="13">
        <f>'Base de données indicateurs1'!AF51</f>
        <v>0</v>
      </c>
      <c r="AG31" s="13">
        <f>'Base de données indicateurs1'!AG51</f>
        <v>0</v>
      </c>
      <c r="AH31" s="13">
        <f>'Base de données indicateurs1'!AH51</f>
        <v>0</v>
      </c>
      <c r="AI31" s="13">
        <f>'Base de données indicateurs1'!AI51</f>
        <v>0</v>
      </c>
      <c r="AJ31" s="13">
        <f>'Base de données indicateurs1'!AJ51</f>
        <v>0</v>
      </c>
      <c r="AK31" s="13">
        <f>'Base de données indicateurs1'!AK51</f>
        <v>0</v>
      </c>
      <c r="AL31" s="13">
        <f>'Base de données indicateurs1'!AL51</f>
        <v>0</v>
      </c>
      <c r="AM31" s="13">
        <f>'Base de données indicateurs1'!AM51</f>
        <v>0</v>
      </c>
      <c r="AN31" s="13">
        <f>'Base de données indicateurs1'!AN51</f>
        <v>0</v>
      </c>
      <c r="AO31" s="13">
        <f>'Base de données indicateurs1'!AO51</f>
        <v>607</v>
      </c>
      <c r="AP31" s="13">
        <f>'Base de données indicateurs1'!AP51</f>
        <v>567</v>
      </c>
      <c r="AQ31" s="13">
        <f>'Base de données indicateurs1'!AQ51</f>
        <v>0</v>
      </c>
      <c r="AR31" s="13">
        <f>'Base de données indicateurs1'!AR51</f>
        <v>422</v>
      </c>
      <c r="AS31" s="13">
        <f>'Base de données indicateurs1'!AS51</f>
        <v>0</v>
      </c>
      <c r="AT31" s="13">
        <f>'Base de données indicateurs1'!AT51</f>
        <v>0</v>
      </c>
      <c r="AU31" s="13">
        <f>'Base de données indicateurs1'!AU51</f>
        <v>0</v>
      </c>
      <c r="AV31" s="13">
        <f>'Base de données indicateurs1'!AV51</f>
        <v>633</v>
      </c>
      <c r="AW31" s="13">
        <f>'Base de données indicateurs1'!AW51</f>
        <v>442</v>
      </c>
      <c r="AX31" s="13">
        <f>'Base de données indicateurs1'!AX51</f>
        <v>311</v>
      </c>
      <c r="AY31" s="13">
        <f>'Base de données indicateurs1'!AY51</f>
        <v>1597</v>
      </c>
      <c r="AZ31" s="13">
        <f>'Base de données indicateurs1'!AZ51</f>
        <v>319</v>
      </c>
      <c r="BA31" s="13">
        <f>'Base de données indicateurs1'!BA51</f>
        <v>1083.4000000000001</v>
      </c>
      <c r="BB31" s="13">
        <f>'Base de données indicateurs1'!BB51</f>
        <v>0</v>
      </c>
      <c r="BC31" s="13">
        <f>'Base de données indicateurs1'!BC51</f>
        <v>590</v>
      </c>
      <c r="BD31" s="13">
        <f t="shared" si="3"/>
        <v>1892548.0600000003</v>
      </c>
      <c r="BE31" s="13">
        <f t="shared" si="4"/>
        <v>0</v>
      </c>
      <c r="BF31" s="13">
        <f t="shared" si="5"/>
        <v>6571.4</v>
      </c>
      <c r="BH31" s="13"/>
      <c r="BM31" s="13"/>
      <c r="BO31" s="13"/>
    </row>
    <row r="32" spans="1:67" x14ac:dyDescent="0.2">
      <c r="A32" s="158" t="s">
        <v>506</v>
      </c>
      <c r="B32" s="159" t="s">
        <v>222</v>
      </c>
      <c r="C32" s="158">
        <v>4490</v>
      </c>
      <c r="D32" s="160">
        <v>0</v>
      </c>
      <c r="E32" s="13">
        <f>'Base de données indicateurs1'!E46</f>
        <v>0</v>
      </c>
      <c r="F32" s="13">
        <f>'Base de données indicateurs1'!F46</f>
        <v>0</v>
      </c>
      <c r="G32" s="13">
        <f>'Base de données indicateurs1'!G46</f>
        <v>0</v>
      </c>
      <c r="H32" s="13">
        <f>'Base de données indicateurs1'!H46</f>
        <v>0</v>
      </c>
      <c r="I32" s="13">
        <f>'Base de données indicateurs1'!I46</f>
        <v>0</v>
      </c>
      <c r="J32" s="13">
        <f>'Base de données indicateurs1'!J46</f>
        <v>0</v>
      </c>
      <c r="K32" s="13">
        <f>'Base de données indicateurs1'!K46</f>
        <v>0</v>
      </c>
      <c r="L32" s="13">
        <f>'Base de données indicateurs1'!L46</f>
        <v>0</v>
      </c>
      <c r="M32" s="13">
        <f>'Base de données indicateurs1'!M46</f>
        <v>0</v>
      </c>
      <c r="N32" s="13">
        <f>'Base de données indicateurs1'!N46</f>
        <v>0</v>
      </c>
      <c r="O32" s="13">
        <f>'Base de données indicateurs1'!O46</f>
        <v>1566.5</v>
      </c>
      <c r="P32" s="13">
        <f>'Base de données indicateurs1'!P46</f>
        <v>0</v>
      </c>
      <c r="Q32" s="13">
        <f>'Base de données indicateurs1'!Q46</f>
        <v>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0</v>
      </c>
      <c r="X32" s="13">
        <f>'Base de données indicateurs1'!X46</f>
        <v>0</v>
      </c>
      <c r="Y32" s="13">
        <f>'Base de données indicateurs1'!Y46</f>
        <v>0</v>
      </c>
      <c r="Z32" s="13">
        <f>'Base de données indicateurs1'!Z46</f>
        <v>0</v>
      </c>
      <c r="AA32" s="13">
        <f>'Base de données indicateurs1'!AA46</f>
        <v>0</v>
      </c>
      <c r="AB32" s="13">
        <f>'Base de données indicateurs1'!AB46</f>
        <v>0</v>
      </c>
      <c r="AC32" s="13">
        <f>'Base de données indicateurs1'!AC46</f>
        <v>0</v>
      </c>
      <c r="AD32" s="13">
        <f>'Base de données indicateurs1'!AD46</f>
        <v>0</v>
      </c>
      <c r="AE32" s="13">
        <f>'Base de données indicateurs1'!AE46</f>
        <v>0</v>
      </c>
      <c r="AF32" s="13">
        <f>'Base de données indicateurs1'!AF46</f>
        <v>31.87</v>
      </c>
      <c r="AG32" s="13">
        <f>'Base de données indicateurs1'!AG46</f>
        <v>0</v>
      </c>
      <c r="AH32" s="13">
        <f>'Base de données indicateurs1'!AH46</f>
        <v>0</v>
      </c>
      <c r="AI32" s="13">
        <f>'Base de données indicateurs1'!AI46</f>
        <v>6920</v>
      </c>
      <c r="AJ32" s="13">
        <f>'Base de données indicateurs1'!AJ46</f>
        <v>0</v>
      </c>
      <c r="AK32" s="13">
        <f>'Base de données indicateurs1'!AK46</f>
        <v>900</v>
      </c>
      <c r="AL32" s="13">
        <f>'Base de données indicateurs1'!AL46</f>
        <v>0</v>
      </c>
      <c r="AM32" s="13">
        <f>'Base de données indicateurs1'!AM46</f>
        <v>0</v>
      </c>
      <c r="AN32" s="13">
        <f>'Base de données indicateurs1'!AN46</f>
        <v>0</v>
      </c>
      <c r="AO32" s="13">
        <f>'Base de données indicateurs1'!AO46</f>
        <v>0</v>
      </c>
      <c r="AP32" s="13">
        <f>'Base de données indicateurs1'!AP46</f>
        <v>0</v>
      </c>
      <c r="AQ32" s="13">
        <f>'Base de données indicateurs1'!AQ46</f>
        <v>0</v>
      </c>
      <c r="AR32" s="13">
        <f>'Base de données indicateurs1'!AR46</f>
        <v>0</v>
      </c>
      <c r="AS32" s="13">
        <f>'Base de données indicateurs1'!AS46</f>
        <v>0</v>
      </c>
      <c r="AT32" s="13">
        <f>'Base de données indicateurs1'!AT46</f>
        <v>0</v>
      </c>
      <c r="AU32" s="13">
        <f>'Base de données indicateurs1'!AU46</f>
        <v>0</v>
      </c>
      <c r="AV32" s="13">
        <f>'Base de données indicateurs1'!AV46</f>
        <v>0</v>
      </c>
      <c r="AW32" s="13">
        <f>'Base de données indicateurs1'!AW46</f>
        <v>0</v>
      </c>
      <c r="AX32" s="13">
        <f>'Base de données indicateurs1'!AX46</f>
        <v>0</v>
      </c>
      <c r="AY32" s="13">
        <f>'Base de données indicateurs1'!AY46</f>
        <v>0</v>
      </c>
      <c r="AZ32" s="13">
        <f>'Base de données indicateurs1'!AZ46</f>
        <v>0</v>
      </c>
      <c r="BA32" s="13">
        <f>'Base de données indicateurs1'!BA46</f>
        <v>0</v>
      </c>
      <c r="BB32" s="13">
        <f>'Base de données indicateurs1'!BB46</f>
        <v>0</v>
      </c>
      <c r="BC32" s="13">
        <f>'Base de données indicateurs1'!BC46</f>
        <v>0</v>
      </c>
      <c r="BD32" s="13">
        <f t="shared" si="3"/>
        <v>1566.5</v>
      </c>
      <c r="BE32" s="13">
        <f t="shared" si="4"/>
        <v>6951.87</v>
      </c>
      <c r="BF32" s="13">
        <f t="shared" si="5"/>
        <v>900</v>
      </c>
      <c r="BH32" s="13"/>
      <c r="BM32" s="13"/>
      <c r="BO32" s="13"/>
    </row>
    <row r="33" spans="1:67" ht="15" thickBot="1" x14ac:dyDescent="0.25">
      <c r="B33" s="165"/>
      <c r="D33" s="13"/>
      <c r="BD33" s="13"/>
      <c r="BE33" s="13"/>
      <c r="BF33" s="13"/>
      <c r="BH33" s="13"/>
      <c r="BM33" s="13"/>
      <c r="BO33" s="13"/>
    </row>
    <row r="34" spans="1:67" ht="15.75" thickBot="1" x14ac:dyDescent="0.3">
      <c r="A34" s="7" t="s">
        <v>537</v>
      </c>
      <c r="B34" s="108"/>
      <c r="C34" s="7"/>
      <c r="D34" s="164">
        <f>SUM(D23:D25,D27:D30)-SUM(D26,D31:D32)</f>
        <v>45270484.170000009</v>
      </c>
      <c r="E34" s="173">
        <f>SUM(E23:E25,E27:E30)-SUM(E26,E31:E32)</f>
        <v>566192.26000000013</v>
      </c>
      <c r="F34" s="163">
        <f t="shared" ref="F34:BC34" si="6">SUM(F23:F25,F27:F30)-SUM(F26,F31:F32)</f>
        <v>274358.81</v>
      </c>
      <c r="G34" s="163">
        <f t="shared" si="6"/>
        <v>241724.71999999997</v>
      </c>
      <c r="H34" s="163">
        <f t="shared" si="6"/>
        <v>218392.13</v>
      </c>
      <c r="I34" s="163">
        <f t="shared" si="6"/>
        <v>1565310.1100000003</v>
      </c>
      <c r="J34" s="163">
        <f t="shared" si="6"/>
        <v>1598762.2299999997</v>
      </c>
      <c r="K34" s="163">
        <f t="shared" si="6"/>
        <v>1671700.55</v>
      </c>
      <c r="L34" s="163">
        <f t="shared" si="6"/>
        <v>4493827.6100000003</v>
      </c>
      <c r="M34" s="163">
        <f t="shared" si="6"/>
        <v>465099.48999999993</v>
      </c>
      <c r="N34" s="163">
        <f t="shared" si="6"/>
        <v>60176.340000000004</v>
      </c>
      <c r="O34" s="163">
        <f t="shared" si="6"/>
        <v>1439832.8000000003</v>
      </c>
      <c r="P34" s="163">
        <f t="shared" si="6"/>
        <v>323619.8</v>
      </c>
      <c r="Q34" s="163">
        <f t="shared" si="6"/>
        <v>-2619.8600000000029</v>
      </c>
      <c r="R34" s="163">
        <f t="shared" si="6"/>
        <v>316823.20999999996</v>
      </c>
      <c r="S34" s="163">
        <f t="shared" si="6"/>
        <v>68813.600000000006</v>
      </c>
      <c r="T34" s="163">
        <f t="shared" si="6"/>
        <v>314911.34000000003</v>
      </c>
      <c r="U34" s="163">
        <f t="shared" si="6"/>
        <v>101340.59999999999</v>
      </c>
      <c r="V34" s="163">
        <f t="shared" si="6"/>
        <v>214946.96</v>
      </c>
      <c r="W34" s="163">
        <f t="shared" si="6"/>
        <v>1628037.58</v>
      </c>
      <c r="X34" s="163">
        <f t="shared" si="6"/>
        <v>193922.57</v>
      </c>
      <c r="Y34" s="163">
        <f t="shared" si="6"/>
        <v>1395777.6800000004</v>
      </c>
      <c r="Z34" s="163">
        <f t="shared" si="6"/>
        <v>6708579.9799999995</v>
      </c>
      <c r="AA34" s="163">
        <f t="shared" si="6"/>
        <v>35068.820000000007</v>
      </c>
      <c r="AB34" s="163">
        <f t="shared" si="6"/>
        <v>-91559.110000000015</v>
      </c>
      <c r="AC34" s="163">
        <f t="shared" si="6"/>
        <v>686429.99</v>
      </c>
      <c r="AD34" s="163">
        <f t="shared" si="6"/>
        <v>149830.56000000003</v>
      </c>
      <c r="AE34" s="163">
        <f t="shared" si="6"/>
        <v>619489.30999999994</v>
      </c>
      <c r="AF34" s="163">
        <f t="shared" si="6"/>
        <v>2191838.39</v>
      </c>
      <c r="AG34" s="163">
        <f t="shared" si="6"/>
        <v>2434914.7800000003</v>
      </c>
      <c r="AH34" s="163">
        <f t="shared" si="6"/>
        <v>102961.27999999998</v>
      </c>
      <c r="AI34" s="163">
        <f t="shared" si="6"/>
        <v>196793.93</v>
      </c>
      <c r="AJ34" s="163">
        <f t="shared" si="6"/>
        <v>1414753.92</v>
      </c>
      <c r="AK34" s="163">
        <f t="shared" si="6"/>
        <v>1256881.57</v>
      </c>
      <c r="AL34" s="163">
        <f t="shared" si="6"/>
        <v>457121.82</v>
      </c>
      <c r="AM34" s="163">
        <f t="shared" si="6"/>
        <v>31070.819999999996</v>
      </c>
      <c r="AN34" s="163">
        <f t="shared" si="6"/>
        <v>2822454.7399999998</v>
      </c>
      <c r="AO34" s="163">
        <f t="shared" si="6"/>
        <v>-353294.57</v>
      </c>
      <c r="AP34" s="163">
        <f t="shared" si="6"/>
        <v>755252.61</v>
      </c>
      <c r="AQ34" s="163">
        <f t="shared" si="6"/>
        <v>458962.86</v>
      </c>
      <c r="AR34" s="163">
        <f t="shared" si="6"/>
        <v>-54811.259999999995</v>
      </c>
      <c r="AS34" s="163">
        <f t="shared" si="6"/>
        <v>427880.12000000005</v>
      </c>
      <c r="AT34" s="163">
        <f t="shared" si="6"/>
        <v>672638.6100000001</v>
      </c>
      <c r="AU34" s="163">
        <f t="shared" si="6"/>
        <v>591332.10000000009</v>
      </c>
      <c r="AV34" s="163">
        <f t="shared" si="6"/>
        <v>375517.38</v>
      </c>
      <c r="AW34" s="163">
        <f t="shared" si="6"/>
        <v>453784.38</v>
      </c>
      <c r="AX34" s="163">
        <f t="shared" si="6"/>
        <v>144172.31</v>
      </c>
      <c r="AY34" s="163">
        <f t="shared" si="6"/>
        <v>920710.85000000009</v>
      </c>
      <c r="AZ34" s="163">
        <f t="shared" si="6"/>
        <v>179099.26</v>
      </c>
      <c r="BA34" s="163">
        <f t="shared" si="6"/>
        <v>409558.06000000006</v>
      </c>
      <c r="BB34" s="163">
        <f t="shared" si="6"/>
        <v>3824202.4399999995</v>
      </c>
      <c r="BC34" s="163">
        <f t="shared" si="6"/>
        <v>288479.31999999995</v>
      </c>
      <c r="BD34" s="13">
        <f>SUM(E34:W34)</f>
        <v>15561250.280000003</v>
      </c>
      <c r="BE34" s="13">
        <f>SUM(X34:AI34)</f>
        <v>14624048.180000002</v>
      </c>
      <c r="BF34" s="13">
        <f>SUM(AJ34:BC34)</f>
        <v>15075767.340000002</v>
      </c>
      <c r="BH34" s="13"/>
      <c r="BM34" s="13"/>
      <c r="BO34" s="13"/>
    </row>
    <row r="35" spans="1:67" x14ac:dyDescent="0.2">
      <c r="B35" s="165"/>
      <c r="D35" s="13"/>
      <c r="BD35" s="13"/>
      <c r="BE35" s="13"/>
      <c r="BF35" s="13"/>
      <c r="BH35" s="13"/>
    </row>
    <row r="36" spans="1:67" x14ac:dyDescent="0.2">
      <c r="A36" s="155" t="s">
        <v>507</v>
      </c>
      <c r="B36" s="156" t="s">
        <v>221</v>
      </c>
      <c r="C36" s="155">
        <v>690</v>
      </c>
      <c r="D36" s="157">
        <f>'Base de données indicateurs1'!BD58</f>
        <v>60898090.959999971</v>
      </c>
      <c r="E36" s="13">
        <f>'Base de données indicateurs1'!E58</f>
        <v>1771946.56</v>
      </c>
      <c r="F36" s="13">
        <f>'Base de données indicateurs1'!F58</f>
        <v>65959.149999999994</v>
      </c>
      <c r="G36" s="13">
        <f>'Base de données indicateurs1'!G58</f>
        <v>39456.93</v>
      </c>
      <c r="H36" s="13">
        <f>'Base de données indicateurs1'!H58</f>
        <v>41883.599999999999</v>
      </c>
      <c r="I36" s="13">
        <f>'Base de données indicateurs1'!I58</f>
        <v>5993855.8399999999</v>
      </c>
      <c r="J36" s="13">
        <f>'Base de données indicateurs1'!J58</f>
        <v>1194129.75</v>
      </c>
      <c r="K36" s="13">
        <f>'Base de données indicateurs1'!K58</f>
        <v>1533433.82</v>
      </c>
      <c r="L36" s="13">
        <f>'Base de données indicateurs1'!L58</f>
        <v>14731209.189999999</v>
      </c>
      <c r="M36" s="13">
        <f>'Base de données indicateurs1'!M58</f>
        <v>2257839.25</v>
      </c>
      <c r="N36" s="13">
        <f>'Base de données indicateurs1'!N58</f>
        <v>41267.75</v>
      </c>
      <c r="O36" s="13">
        <f>'Base de données indicateurs1'!O58</f>
        <v>5871184.3700000001</v>
      </c>
      <c r="P36" s="13">
        <f>'Base de données indicateurs1'!P58</f>
        <v>81241.62</v>
      </c>
      <c r="Q36" s="13">
        <f>'Base de données indicateurs1'!Q58</f>
        <v>26121.05</v>
      </c>
      <c r="R36" s="13">
        <f>'Base de données indicateurs1'!R58</f>
        <v>571739.03</v>
      </c>
      <c r="S36" s="13">
        <f>'Base de données indicateurs1'!S58</f>
        <v>18747.150000000001</v>
      </c>
      <c r="T36" s="13">
        <f>'Base de données indicateurs1'!T58</f>
        <v>40075.75</v>
      </c>
      <c r="U36" s="13">
        <f>'Base de données indicateurs1'!U58</f>
        <v>98779.16</v>
      </c>
      <c r="V36" s="13">
        <f>'Base de données indicateurs1'!V58</f>
        <v>13524.55</v>
      </c>
      <c r="W36" s="13">
        <f>'Base de données indicateurs1'!W58</f>
        <v>1792479.95</v>
      </c>
      <c r="X36" s="13">
        <f>'Base de données indicateurs1'!X58</f>
        <v>85627.8</v>
      </c>
      <c r="Y36" s="13">
        <f>'Base de données indicateurs1'!Y58</f>
        <v>426067.20000000001</v>
      </c>
      <c r="Z36" s="13">
        <f>'Base de données indicateurs1'!Z58</f>
        <v>1561611.65</v>
      </c>
      <c r="AA36" s="13">
        <f>'Base de données indicateurs1'!AA58</f>
        <v>181878.45</v>
      </c>
      <c r="AB36" s="13">
        <f>'Base de données indicateurs1'!AB58</f>
        <v>105748.1</v>
      </c>
      <c r="AC36" s="13">
        <f>'Base de données indicateurs1'!AC58</f>
        <v>800065.97</v>
      </c>
      <c r="AD36" s="13">
        <f>'Base de données indicateurs1'!AD58</f>
        <v>189251.4</v>
      </c>
      <c r="AE36" s="13">
        <f>'Base de données indicateurs1'!AE58</f>
        <v>255971.95</v>
      </c>
      <c r="AF36" s="13">
        <f>'Base de données indicateurs1'!AF58</f>
        <v>2149930.66</v>
      </c>
      <c r="AG36" s="13">
        <f>'Base de données indicateurs1'!AG58</f>
        <v>933570.84</v>
      </c>
      <c r="AH36" s="13">
        <f>'Base de données indicateurs1'!AH58</f>
        <v>245354.91</v>
      </c>
      <c r="AI36" s="13">
        <f>'Base de données indicateurs1'!AI58</f>
        <v>852018.05</v>
      </c>
      <c r="AJ36" s="13">
        <f>'Base de données indicateurs1'!AJ58</f>
        <v>614594.05000000005</v>
      </c>
      <c r="AK36" s="13">
        <f>'Base de données indicateurs1'!AK58</f>
        <v>123521.5</v>
      </c>
      <c r="AL36" s="13">
        <f>'Base de données indicateurs1'!AL58</f>
        <v>1379072.37</v>
      </c>
      <c r="AM36" s="13">
        <f>'Base de données indicateurs1'!AM58</f>
        <v>29611.8</v>
      </c>
      <c r="AN36" s="13">
        <f>'Base de données indicateurs1'!AN58</f>
        <v>1266531.1000000001</v>
      </c>
      <c r="AO36" s="13">
        <f>'Base de données indicateurs1'!AO58</f>
        <v>254076.55</v>
      </c>
      <c r="AP36" s="13">
        <f>'Base de données indicateurs1'!AP58</f>
        <v>1121531.47</v>
      </c>
      <c r="AQ36" s="13">
        <f>'Base de données indicateurs1'!AQ58</f>
        <v>881193.7</v>
      </c>
      <c r="AR36" s="13">
        <f>'Base de données indicateurs1'!AR58</f>
        <v>359515.8</v>
      </c>
      <c r="AS36" s="13">
        <f>'Base de données indicateurs1'!AS58</f>
        <v>213352.45</v>
      </c>
      <c r="AT36" s="13">
        <f>'Base de données indicateurs1'!AT58</f>
        <v>307820.15000000002</v>
      </c>
      <c r="AU36" s="13">
        <f>'Base de données indicateurs1'!AU58</f>
        <v>2525481.0499999998</v>
      </c>
      <c r="AV36" s="13">
        <f>'Base de données indicateurs1'!AV58</f>
        <v>428018.12</v>
      </c>
      <c r="AW36" s="13">
        <f>'Base de données indicateurs1'!AW58</f>
        <v>125702.05</v>
      </c>
      <c r="AX36" s="13">
        <f>'Base de données indicateurs1'!AX58</f>
        <v>55879.7</v>
      </c>
      <c r="AY36" s="13">
        <f>'Base de données indicateurs1'!AY58</f>
        <v>662666.80000000005</v>
      </c>
      <c r="AZ36" s="13">
        <f>'Base de données indicateurs1'!AZ58</f>
        <v>456466.83</v>
      </c>
      <c r="BA36" s="13">
        <f>'Base de données indicateurs1'!BA58</f>
        <v>395313</v>
      </c>
      <c r="BB36" s="13">
        <f>'Base de données indicateurs1'!BB58</f>
        <v>5194591.42</v>
      </c>
      <c r="BC36" s="13">
        <f>'Base de données indicateurs1'!BC58</f>
        <v>531179.6</v>
      </c>
      <c r="BD36" s="13">
        <f>SUM(E36:W36)</f>
        <v>36184874.469999991</v>
      </c>
      <c r="BE36" s="13">
        <f>SUM(X36:AI36)</f>
        <v>7787096.9799999995</v>
      </c>
      <c r="BF36" s="13">
        <f>SUM(AJ36:BC36)</f>
        <v>16926119.510000002</v>
      </c>
      <c r="BH36" s="13"/>
    </row>
    <row r="37" spans="1:67" x14ac:dyDescent="0.2">
      <c r="A37" s="158" t="s">
        <v>508</v>
      </c>
      <c r="B37" s="159" t="s">
        <v>222</v>
      </c>
      <c r="C37" s="158">
        <v>590</v>
      </c>
      <c r="D37" s="160">
        <f>'Base de données indicateurs1'!BD61</f>
        <v>15294597.010000002</v>
      </c>
      <c r="E37" s="13">
        <f>'Base de données indicateurs1'!E61</f>
        <v>263140.82</v>
      </c>
      <c r="F37" s="13">
        <f>'Base de données indicateurs1'!F61</f>
        <v>0</v>
      </c>
      <c r="G37" s="13">
        <f>'Base de données indicateurs1'!G61</f>
        <v>0</v>
      </c>
      <c r="H37" s="13">
        <f>'Base de données indicateurs1'!H61</f>
        <v>0</v>
      </c>
      <c r="I37" s="13">
        <f>'Base de données indicateurs1'!I61</f>
        <v>272149.2</v>
      </c>
      <c r="J37" s="13">
        <f>'Base de données indicateurs1'!J61</f>
        <v>327152.95</v>
      </c>
      <c r="K37" s="13">
        <f>'Base de données indicateurs1'!K61</f>
        <v>41782.75</v>
      </c>
      <c r="L37" s="13">
        <f>'Base de données indicateurs1'!L61</f>
        <v>3529629.3</v>
      </c>
      <c r="M37" s="13">
        <f>'Base de données indicateurs1'!M61</f>
        <v>1574994.15</v>
      </c>
      <c r="N37" s="13">
        <f>'Base de données indicateurs1'!N61</f>
        <v>0</v>
      </c>
      <c r="O37" s="13">
        <f>'Base de données indicateurs1'!O61</f>
        <v>2540527.9500000002</v>
      </c>
      <c r="P37" s="13">
        <f>'Base de données indicateurs1'!P61</f>
        <v>0</v>
      </c>
      <c r="Q37" s="13">
        <f>'Base de données indicateurs1'!Q61</f>
        <v>0</v>
      </c>
      <c r="R37" s="13">
        <f>'Base de données indicateurs1'!R61</f>
        <v>126000</v>
      </c>
      <c r="S37" s="13">
        <f>'Base de données indicateurs1'!S61</f>
        <v>0</v>
      </c>
      <c r="T37" s="13">
        <f>'Base de données indicateurs1'!T61</f>
        <v>6401</v>
      </c>
      <c r="U37" s="13">
        <f>'Base de données indicateurs1'!U61</f>
        <v>0</v>
      </c>
      <c r="V37" s="13">
        <f>'Base de données indicateurs1'!V61</f>
        <v>0</v>
      </c>
      <c r="W37" s="13">
        <f>'Base de données indicateurs1'!W61</f>
        <v>809066.57</v>
      </c>
      <c r="X37" s="13">
        <f>'Base de données indicateurs1'!X61</f>
        <v>0</v>
      </c>
      <c r="Y37" s="13">
        <f>'Base de données indicateurs1'!Y61</f>
        <v>73509.55</v>
      </c>
      <c r="Z37" s="13">
        <f>'Base de données indicateurs1'!Z61</f>
        <v>0</v>
      </c>
      <c r="AA37" s="13">
        <f>'Base de données indicateurs1'!AA61</f>
        <v>267055</v>
      </c>
      <c r="AB37" s="13">
        <f>'Base de données indicateurs1'!AB61</f>
        <v>20170</v>
      </c>
      <c r="AC37" s="13">
        <f>'Base de données indicateurs1'!AC61</f>
        <v>584800</v>
      </c>
      <c r="AD37" s="13">
        <f>'Base de données indicateurs1'!AD61</f>
        <v>5000</v>
      </c>
      <c r="AE37" s="13">
        <f>'Base de données indicateurs1'!AE61</f>
        <v>131430</v>
      </c>
      <c r="AF37" s="13">
        <f>'Base de données indicateurs1'!AF61</f>
        <v>81803.899999999994</v>
      </c>
      <c r="AG37" s="13">
        <f>'Base de données indicateurs1'!AG61</f>
        <v>211455.25</v>
      </c>
      <c r="AH37" s="13">
        <f>'Base de données indicateurs1'!AH61</f>
        <v>20790</v>
      </c>
      <c r="AI37" s="13">
        <f>'Base de données indicateurs1'!AI61</f>
        <v>575000</v>
      </c>
      <c r="AJ37" s="13">
        <f>'Base de données indicateurs1'!AJ61</f>
        <v>31000</v>
      </c>
      <c r="AK37" s="13">
        <f>'Base de données indicateurs1'!AK61</f>
        <v>74000</v>
      </c>
      <c r="AL37" s="13">
        <f>'Base de données indicateurs1'!AL61</f>
        <v>217825.5</v>
      </c>
      <c r="AM37" s="13">
        <f>'Base de données indicateurs1'!AM61</f>
        <v>0</v>
      </c>
      <c r="AN37" s="13">
        <f>'Base de données indicateurs1'!AN61</f>
        <v>110999.1</v>
      </c>
      <c r="AO37" s="13">
        <f>'Base de données indicateurs1'!AO61</f>
        <v>160035.9</v>
      </c>
      <c r="AP37" s="13">
        <f>'Base de données indicateurs1'!AP61</f>
        <v>516925.65</v>
      </c>
      <c r="AQ37" s="13">
        <f>'Base de données indicateurs1'!AQ61</f>
        <v>1202736.05</v>
      </c>
      <c r="AR37" s="13">
        <f>'Base de données indicateurs1'!AR61</f>
        <v>5049.7</v>
      </c>
      <c r="AS37" s="13">
        <f>'Base de données indicateurs1'!AS61</f>
        <v>-7612.9</v>
      </c>
      <c r="AT37" s="13">
        <f>'Base de données indicateurs1'!AT61</f>
        <v>0</v>
      </c>
      <c r="AU37" s="13">
        <f>'Base de données indicateurs1'!AU61</f>
        <v>164207</v>
      </c>
      <c r="AV37" s="13">
        <f>'Base de données indicateurs1'!AV61</f>
        <v>9405.86</v>
      </c>
      <c r="AW37" s="13">
        <f>'Base de données indicateurs1'!AW61</f>
        <v>20000</v>
      </c>
      <c r="AX37" s="13">
        <f>'Base de données indicateurs1'!AX61</f>
        <v>0</v>
      </c>
      <c r="AY37" s="13">
        <f>'Base de données indicateurs1'!AY61</f>
        <v>7567</v>
      </c>
      <c r="AZ37" s="13">
        <f>'Base de données indicateurs1'!AZ61</f>
        <v>125913.85</v>
      </c>
      <c r="BA37" s="13">
        <f>'Base de données indicateurs1'!BA61</f>
        <v>81405.850000000006</v>
      </c>
      <c r="BB37" s="13">
        <f>'Base de données indicateurs1'!BB61</f>
        <v>1112280.06</v>
      </c>
      <c r="BC37" s="13">
        <f>'Base de données indicateurs1'!BC61</f>
        <v>1000</v>
      </c>
      <c r="BD37" s="13">
        <f>SUM(E37:W37)</f>
        <v>9490844.6900000013</v>
      </c>
      <c r="BE37" s="13">
        <f>SUM(X37:AI37)</f>
        <v>1971013.7</v>
      </c>
      <c r="BF37" s="13">
        <f>SUM(AJ37:BC37)</f>
        <v>3832738.6200000006</v>
      </c>
      <c r="BH37" s="13"/>
    </row>
    <row r="38" spans="1:67" ht="15" thickBot="1" x14ac:dyDescent="0.25">
      <c r="B38" s="154"/>
      <c r="D38" s="13"/>
      <c r="BD38" s="13"/>
      <c r="BE38" s="13"/>
      <c r="BF38" s="13"/>
      <c r="BH38" s="13"/>
    </row>
    <row r="39" spans="1:67" ht="15.75" thickBot="1" x14ac:dyDescent="0.3">
      <c r="A39" s="7" t="s">
        <v>217</v>
      </c>
      <c r="B39" s="174"/>
      <c r="C39" s="7"/>
      <c r="D39" s="164">
        <f>D36-D37</f>
        <v>45603493.949999973</v>
      </c>
      <c r="E39" s="13">
        <f>E36-E37</f>
        <v>1508805.74</v>
      </c>
      <c r="F39" s="13">
        <f t="shared" ref="F39:BC39" si="7">F36-F37</f>
        <v>65959.149999999994</v>
      </c>
      <c r="G39" s="13">
        <f t="shared" si="7"/>
        <v>39456.93</v>
      </c>
      <c r="H39" s="13">
        <f t="shared" si="7"/>
        <v>41883.599999999999</v>
      </c>
      <c r="I39" s="13">
        <f t="shared" si="7"/>
        <v>5721706.6399999997</v>
      </c>
      <c r="J39" s="13">
        <f t="shared" si="7"/>
        <v>866976.8</v>
      </c>
      <c r="K39" s="13">
        <f t="shared" si="7"/>
        <v>1491651.07</v>
      </c>
      <c r="L39" s="13">
        <f t="shared" si="7"/>
        <v>11201579.890000001</v>
      </c>
      <c r="M39" s="13">
        <f t="shared" si="7"/>
        <v>682845.10000000009</v>
      </c>
      <c r="N39" s="13">
        <f t="shared" si="7"/>
        <v>41267.75</v>
      </c>
      <c r="O39" s="13">
        <f t="shared" si="7"/>
        <v>3330656.42</v>
      </c>
      <c r="P39" s="13">
        <f t="shared" si="7"/>
        <v>81241.62</v>
      </c>
      <c r="Q39" s="13">
        <f t="shared" si="7"/>
        <v>26121.05</v>
      </c>
      <c r="R39" s="13">
        <f t="shared" si="7"/>
        <v>445739.03</v>
      </c>
      <c r="S39" s="13">
        <f t="shared" si="7"/>
        <v>18747.150000000001</v>
      </c>
      <c r="T39" s="13">
        <f t="shared" si="7"/>
        <v>33674.75</v>
      </c>
      <c r="U39" s="13">
        <f t="shared" si="7"/>
        <v>98779.16</v>
      </c>
      <c r="V39" s="13">
        <f t="shared" si="7"/>
        <v>13524.55</v>
      </c>
      <c r="W39" s="13">
        <f t="shared" si="7"/>
        <v>983413.38</v>
      </c>
      <c r="X39" s="13">
        <f t="shared" si="7"/>
        <v>85627.8</v>
      </c>
      <c r="Y39" s="13">
        <f t="shared" si="7"/>
        <v>352557.65</v>
      </c>
      <c r="Z39" s="13">
        <f t="shared" si="7"/>
        <v>1561611.65</v>
      </c>
      <c r="AA39" s="13">
        <f t="shared" si="7"/>
        <v>-85176.549999999988</v>
      </c>
      <c r="AB39" s="13">
        <f t="shared" si="7"/>
        <v>85578.1</v>
      </c>
      <c r="AC39" s="13">
        <f t="shared" si="7"/>
        <v>215265.96999999997</v>
      </c>
      <c r="AD39" s="13">
        <f t="shared" si="7"/>
        <v>184251.4</v>
      </c>
      <c r="AE39" s="13">
        <f t="shared" si="7"/>
        <v>124541.95000000001</v>
      </c>
      <c r="AF39" s="13">
        <f t="shared" si="7"/>
        <v>2068126.7600000002</v>
      </c>
      <c r="AG39" s="13">
        <f t="shared" si="7"/>
        <v>722115.59</v>
      </c>
      <c r="AH39" s="13">
        <f t="shared" si="7"/>
        <v>224564.91</v>
      </c>
      <c r="AI39" s="13">
        <f t="shared" si="7"/>
        <v>277018.05000000005</v>
      </c>
      <c r="AJ39" s="13">
        <f t="shared" si="7"/>
        <v>583594.05000000005</v>
      </c>
      <c r="AK39" s="13">
        <f t="shared" si="7"/>
        <v>49521.5</v>
      </c>
      <c r="AL39" s="13">
        <f t="shared" si="7"/>
        <v>1161246.8700000001</v>
      </c>
      <c r="AM39" s="13">
        <f t="shared" si="7"/>
        <v>29611.8</v>
      </c>
      <c r="AN39" s="13">
        <f t="shared" si="7"/>
        <v>1155532</v>
      </c>
      <c r="AO39" s="13">
        <f t="shared" si="7"/>
        <v>94040.65</v>
      </c>
      <c r="AP39" s="13">
        <f t="shared" si="7"/>
        <v>604605.81999999995</v>
      </c>
      <c r="AQ39" s="13">
        <f t="shared" si="7"/>
        <v>-321542.35000000009</v>
      </c>
      <c r="AR39" s="13">
        <f t="shared" si="7"/>
        <v>354466.1</v>
      </c>
      <c r="AS39" s="13">
        <f t="shared" si="7"/>
        <v>220965.35</v>
      </c>
      <c r="AT39" s="13">
        <f t="shared" si="7"/>
        <v>307820.15000000002</v>
      </c>
      <c r="AU39" s="13">
        <f t="shared" si="7"/>
        <v>2361274.0499999998</v>
      </c>
      <c r="AV39" s="13">
        <f t="shared" si="7"/>
        <v>418612.26</v>
      </c>
      <c r="AW39" s="13">
        <f t="shared" si="7"/>
        <v>105702.05</v>
      </c>
      <c r="AX39" s="13">
        <f t="shared" si="7"/>
        <v>55879.7</v>
      </c>
      <c r="AY39" s="13">
        <f t="shared" si="7"/>
        <v>655099.80000000005</v>
      </c>
      <c r="AZ39" s="13">
        <f t="shared" si="7"/>
        <v>330552.98</v>
      </c>
      <c r="BA39" s="13">
        <f t="shared" si="7"/>
        <v>313907.15000000002</v>
      </c>
      <c r="BB39" s="13">
        <f t="shared" si="7"/>
        <v>4082311.36</v>
      </c>
      <c r="BC39" s="13">
        <f t="shared" si="7"/>
        <v>530179.6</v>
      </c>
      <c r="BD39" s="13">
        <f>SUM(E39:W39)</f>
        <v>26694029.780000005</v>
      </c>
      <c r="BE39" s="13">
        <f>SUM(X39:AI39)</f>
        <v>5816083.2800000003</v>
      </c>
      <c r="BF39" s="13">
        <f>SUM(AJ39:BC39)</f>
        <v>13093380.889999999</v>
      </c>
      <c r="BH39" s="13"/>
    </row>
    <row r="40" spans="1:67" ht="15" thickBot="1" x14ac:dyDescent="0.25">
      <c r="B40" s="154"/>
      <c r="D40" s="13"/>
      <c r="BD40" s="13"/>
      <c r="BE40" s="13"/>
      <c r="BF40" s="13"/>
      <c r="BH40" s="13"/>
    </row>
    <row r="41" spans="1:67" ht="15.75" thickBot="1" x14ac:dyDescent="0.3">
      <c r="A41" s="7" t="s">
        <v>558</v>
      </c>
      <c r="B41" s="174"/>
      <c r="C41" s="7"/>
      <c r="D41" s="164">
        <f>IF(D39&lt;&gt;0,D34/D39,"")*100</f>
        <v>99.269771346105458</v>
      </c>
      <c r="E41" s="167">
        <f>IF(E39&lt;&gt;0,E34/E39,"")*100</f>
        <v>37.525855382814235</v>
      </c>
      <c r="F41" s="168">
        <f t="shared" ref="F41:BF41" si="8">IF(F39&lt;&gt;0,F34/F39,"")*100</f>
        <v>415.95261612679974</v>
      </c>
      <c r="G41" s="168">
        <f t="shared" si="8"/>
        <v>612.62931505314771</v>
      </c>
      <c r="H41" s="168">
        <f t="shared" si="8"/>
        <v>521.42635781069441</v>
      </c>
      <c r="I41" s="168">
        <f t="shared" si="8"/>
        <v>27.357398910615949</v>
      </c>
      <c r="J41" s="168">
        <f t="shared" si="8"/>
        <v>184.40657581610023</v>
      </c>
      <c r="K41" s="168">
        <f t="shared" si="8"/>
        <v>112.07048240846301</v>
      </c>
      <c r="L41" s="168">
        <f t="shared" si="8"/>
        <v>40.117801721985487</v>
      </c>
      <c r="M41" s="168">
        <f t="shared" si="8"/>
        <v>68.112005197079085</v>
      </c>
      <c r="N41" s="168">
        <f t="shared" si="8"/>
        <v>145.81928988132381</v>
      </c>
      <c r="O41" s="168">
        <f>IF(O39&lt;&gt;0,O34/O39,"")*100</f>
        <v>43.229700648618696</v>
      </c>
      <c r="P41" s="168">
        <f t="shared" si="8"/>
        <v>398.3423767275936</v>
      </c>
      <c r="Q41" s="168">
        <f t="shared" si="8"/>
        <v>-10.029688699344026</v>
      </c>
      <c r="R41" s="168">
        <f t="shared" si="8"/>
        <v>71.078184470406356</v>
      </c>
      <c r="S41" s="168">
        <f t="shared" si="8"/>
        <v>367.06166003899261</v>
      </c>
      <c r="T41" s="168">
        <f t="shared" si="8"/>
        <v>935.15568786702215</v>
      </c>
      <c r="U41" s="168">
        <f t="shared" si="8"/>
        <v>102.59309757240291</v>
      </c>
      <c r="V41" s="168">
        <f t="shared" si="8"/>
        <v>1589.3095149191656</v>
      </c>
      <c r="W41" s="168">
        <f t="shared" si="8"/>
        <v>165.54966742469986</v>
      </c>
      <c r="X41" s="168">
        <f t="shared" si="8"/>
        <v>226.47150808499111</v>
      </c>
      <c r="Y41" s="168">
        <f t="shared" si="8"/>
        <v>395.90055129990805</v>
      </c>
      <c r="Z41" s="168">
        <f>IF(Z39&lt;&gt;0,Z34/Z39,"")*100</f>
        <v>429.59336144809112</v>
      </c>
      <c r="AA41" s="168">
        <f t="shared" si="8"/>
        <v>-41.171918796898929</v>
      </c>
      <c r="AB41" s="168">
        <f t="shared" si="8"/>
        <v>-106.98894927557402</v>
      </c>
      <c r="AC41" s="168">
        <f t="shared" si="8"/>
        <v>318.87529180761828</v>
      </c>
      <c r="AD41" s="168">
        <f t="shared" si="8"/>
        <v>81.318546290557364</v>
      </c>
      <c r="AE41" s="168">
        <f t="shared" si="8"/>
        <v>497.41417249368578</v>
      </c>
      <c r="AF41" s="168">
        <f t="shared" si="8"/>
        <v>105.98182047603311</v>
      </c>
      <c r="AG41" s="168">
        <f t="shared" si="8"/>
        <v>337.19183101974022</v>
      </c>
      <c r="AH41" s="168">
        <f t="shared" si="8"/>
        <v>45.849229071451987</v>
      </c>
      <c r="AI41" s="168">
        <f t="shared" si="8"/>
        <v>71.040110924179828</v>
      </c>
      <c r="AJ41" s="168">
        <f t="shared" si="8"/>
        <v>242.42089514106593</v>
      </c>
      <c r="AK41" s="168">
        <f t="shared" si="8"/>
        <v>2538.0523005159375</v>
      </c>
      <c r="AL41" s="168">
        <f t="shared" si="8"/>
        <v>39.364740763520849</v>
      </c>
      <c r="AM41" s="168">
        <f t="shared" si="8"/>
        <v>104.92715741697565</v>
      </c>
      <c r="AN41" s="168">
        <f t="shared" si="8"/>
        <v>244.25587002350429</v>
      </c>
      <c r="AO41" s="168">
        <f t="shared" si="8"/>
        <v>-375.6828243956204</v>
      </c>
      <c r="AP41" s="168">
        <f t="shared" si="8"/>
        <v>124.91652991365515</v>
      </c>
      <c r="AQ41" s="168">
        <f t="shared" si="8"/>
        <v>-142.73791928186128</v>
      </c>
      <c r="AR41" s="168">
        <f t="shared" si="8"/>
        <v>-15.463047100978061</v>
      </c>
      <c r="AS41" s="168">
        <f t="shared" si="8"/>
        <v>193.64127452562136</v>
      </c>
      <c r="AT41" s="168">
        <f t="shared" si="8"/>
        <v>218.5167572688143</v>
      </c>
      <c r="AU41" s="168">
        <f t="shared" si="8"/>
        <v>25.042925449504693</v>
      </c>
      <c r="AV41" s="168">
        <f t="shared" si="8"/>
        <v>89.705299123346265</v>
      </c>
      <c r="AW41" s="168">
        <f t="shared" si="8"/>
        <v>429.30518376890518</v>
      </c>
      <c r="AX41" s="168">
        <f t="shared" si="8"/>
        <v>258.00480317539285</v>
      </c>
      <c r="AY41" s="168">
        <f t="shared" si="8"/>
        <v>140.54512762788204</v>
      </c>
      <c r="AZ41" s="168">
        <f t="shared" si="8"/>
        <v>54.181710901532341</v>
      </c>
      <c r="BA41" s="168">
        <f t="shared" si="8"/>
        <v>130.4710835672268</v>
      </c>
      <c r="BB41" s="168">
        <f t="shared" si="8"/>
        <v>93.677382805019548</v>
      </c>
      <c r="BC41" s="168">
        <f t="shared" si="8"/>
        <v>54.411622023933013</v>
      </c>
      <c r="BD41" s="168">
        <f t="shared" si="8"/>
        <v>58.294871206216214</v>
      </c>
      <c r="BE41" s="168">
        <f t="shared" si="8"/>
        <v>251.44151959254617</v>
      </c>
      <c r="BF41" s="168">
        <f t="shared" si="8"/>
        <v>115.14037105201788</v>
      </c>
      <c r="BH41" s="13"/>
    </row>
    <row r="42" spans="1:67" x14ac:dyDescent="0.2">
      <c r="A42" s="169" t="s">
        <v>509</v>
      </c>
      <c r="B42" s="154"/>
    </row>
    <row r="43" spans="1:67" x14ac:dyDescent="0.2">
      <c r="B43" s="154"/>
    </row>
    <row r="46" spans="1:67" x14ac:dyDescent="0.2">
      <c r="AA46" s="13">
        <f>D39-D34</f>
        <v>333009.77999996394</v>
      </c>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36"/>
  <sheetViews>
    <sheetView zoomScaleNormal="100" workbookViewId="0">
      <pane xSplit="4" ySplit="4" topLeftCell="A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5" style="8" bestFit="1" customWidth="1"/>
    <col min="62" max="16384" width="11.42578125" style="8"/>
  </cols>
  <sheetData>
    <row r="1" spans="1:61" ht="18" x14ac:dyDescent="0.25">
      <c r="A1" s="151" t="s">
        <v>488</v>
      </c>
      <c r="B1" s="151"/>
      <c r="C1" s="151"/>
      <c r="D1" s="151"/>
    </row>
    <row r="3" spans="1:61" ht="15" x14ac:dyDescent="0.25">
      <c r="A3" s="7" t="s">
        <v>510</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278</v>
      </c>
      <c r="B5" s="156" t="s">
        <v>221</v>
      </c>
      <c r="C5" s="155">
        <v>340</v>
      </c>
      <c r="D5" s="157">
        <f>'Base de données indicateurs1'!BD23</f>
        <v>7784863.8900000006</v>
      </c>
      <c r="E5" s="13">
        <f>'Base de données indicateurs1'!E23</f>
        <v>156645.15</v>
      </c>
      <c r="F5" s="13">
        <f>'Base de données indicateurs1'!F23</f>
        <v>30817.39</v>
      </c>
      <c r="G5" s="13">
        <f>'Base de données indicateurs1'!G23</f>
        <v>53361.35</v>
      </c>
      <c r="H5" s="13">
        <f>'Base de données indicateurs1'!H23</f>
        <v>60888.62</v>
      </c>
      <c r="I5" s="13">
        <f>'Base de données indicateurs1'!I23</f>
        <v>296135.36</v>
      </c>
      <c r="J5" s="13">
        <f>'Base de données indicateurs1'!J23</f>
        <v>322862.84000000003</v>
      </c>
      <c r="K5" s="13">
        <f>'Base de données indicateurs1'!K23</f>
        <v>155775.39000000001</v>
      </c>
      <c r="L5" s="13">
        <f>'Base de données indicateurs1'!L23</f>
        <v>2529551.12</v>
      </c>
      <c r="M5" s="13">
        <f>'Base de données indicateurs1'!M23</f>
        <v>56437.21</v>
      </c>
      <c r="N5" s="13">
        <f>'Base de données indicateurs1'!N23</f>
        <v>6710.34</v>
      </c>
      <c r="O5" s="13">
        <f>'Base de données indicateurs1'!O23</f>
        <v>450297.84</v>
      </c>
      <c r="P5" s="13">
        <f>'Base de données indicateurs1'!P23</f>
        <v>38594.86</v>
      </c>
      <c r="Q5" s="13">
        <f>'Base de données indicateurs1'!Q23</f>
        <v>8899.5</v>
      </c>
      <c r="R5" s="13">
        <f>'Base de données indicateurs1'!R23</f>
        <v>21426.75</v>
      </c>
      <c r="S5" s="13">
        <f>'Base de données indicateurs1'!S23</f>
        <v>66129.070000000007</v>
      </c>
      <c r="T5" s="13">
        <f>'Base de données indicateurs1'!T23</f>
        <v>41844.199999999997</v>
      </c>
      <c r="U5" s="13">
        <f>'Base de données indicateurs1'!U23</f>
        <v>16995.22</v>
      </c>
      <c r="V5" s="13">
        <f>'Base de données indicateurs1'!V23</f>
        <v>34228.76</v>
      </c>
      <c r="W5" s="13">
        <f>'Base de données indicateurs1'!W23</f>
        <v>196047.92</v>
      </c>
      <c r="X5" s="13">
        <f>'Base de données indicateurs1'!X23</f>
        <v>4762.57</v>
      </c>
      <c r="Y5" s="13">
        <f>'Base de données indicateurs1'!Y23</f>
        <v>135578.04999999999</v>
      </c>
      <c r="Z5" s="13">
        <f>'Base de données indicateurs1'!Z23</f>
        <v>9613.4</v>
      </c>
      <c r="AA5" s="13">
        <f>'Base de données indicateurs1'!AA23</f>
        <v>4805.45</v>
      </c>
      <c r="AB5" s="13">
        <f>'Base de données indicateurs1'!AB23</f>
        <v>62402.87</v>
      </c>
      <c r="AC5" s="13">
        <f>'Base de données indicateurs1'!AC23</f>
        <v>69810.149999999994</v>
      </c>
      <c r="AD5" s="13">
        <f>'Base de données indicateurs1'!AD23</f>
        <v>45431.34</v>
      </c>
      <c r="AE5" s="13">
        <f>'Base de données indicateurs1'!AE23</f>
        <v>7765.71</v>
      </c>
      <c r="AF5" s="13">
        <f>'Base de données indicateurs1'!AF23</f>
        <v>42075.34</v>
      </c>
      <c r="AG5" s="13">
        <f>'Base de données indicateurs1'!AG23</f>
        <v>139010.32999999999</v>
      </c>
      <c r="AH5" s="13">
        <f>'Base de données indicateurs1'!AH23</f>
        <v>18355.89</v>
      </c>
      <c r="AI5" s="13">
        <f>'Base de données indicateurs1'!AI23</f>
        <v>4428.46</v>
      </c>
      <c r="AJ5" s="13">
        <f>'Base de données indicateurs1'!AJ23</f>
        <v>178839.76</v>
      </c>
      <c r="AK5" s="13">
        <f>'Base de données indicateurs1'!AK23</f>
        <v>124437.21</v>
      </c>
      <c r="AL5" s="13">
        <f>'Base de données indicateurs1'!AL23</f>
        <v>133165.51999999999</v>
      </c>
      <c r="AM5" s="13">
        <f>'Base de données indicateurs1'!AM23</f>
        <v>19222.490000000002</v>
      </c>
      <c r="AN5" s="13">
        <f>'Base de données indicateurs1'!AN23</f>
        <v>89524.44</v>
      </c>
      <c r="AO5" s="13">
        <f>'Base de données indicateurs1'!AO23</f>
        <v>86450.95</v>
      </c>
      <c r="AP5" s="13">
        <f>'Base de données indicateurs1'!AP23</f>
        <v>79824.19</v>
      </c>
      <c r="AQ5" s="13">
        <f>'Base de données indicateurs1'!AQ23</f>
        <v>89935.81</v>
      </c>
      <c r="AR5" s="13">
        <f>'Base de données indicateurs1'!AR23</f>
        <v>65076.03</v>
      </c>
      <c r="AS5" s="13">
        <f>'Base de données indicateurs1'!AS23</f>
        <v>104750.79</v>
      </c>
      <c r="AT5" s="13">
        <f>'Base de données indicateurs1'!AT23</f>
        <v>21291.29</v>
      </c>
      <c r="AU5" s="13">
        <f>'Base de données indicateurs1'!AU23</f>
        <v>221196.53</v>
      </c>
      <c r="AV5" s="13">
        <f>'Base de données indicateurs1'!AV23</f>
        <v>61086.18</v>
      </c>
      <c r="AW5" s="13">
        <f>'Base de données indicateurs1'!AW23</f>
        <v>7983.25</v>
      </c>
      <c r="AX5" s="13">
        <f>'Base de données indicateurs1'!AX23</f>
        <v>16170.03</v>
      </c>
      <c r="AY5" s="13">
        <f>'Base de données indicateurs1'!AY23</f>
        <v>301713.03999999998</v>
      </c>
      <c r="AZ5" s="13">
        <f>'Base de données indicateurs1'!AZ23</f>
        <v>46856.61</v>
      </c>
      <c r="BA5" s="13">
        <f>'Base de données indicateurs1'!BA23</f>
        <v>121337.51</v>
      </c>
      <c r="BB5" s="13">
        <f>'Base de données indicateurs1'!BB23</f>
        <v>882629.73</v>
      </c>
      <c r="BC5" s="13">
        <f>'Base de données indicateurs1'!BC23</f>
        <v>45684.08</v>
      </c>
      <c r="BD5" s="13">
        <f>SUM(E5:W5)</f>
        <v>4543648.8899999997</v>
      </c>
      <c r="BE5" s="13">
        <f>SUM(X5:AI5)</f>
        <v>544039.55999999994</v>
      </c>
      <c r="BF5" s="13">
        <f>SUM(AJ5:BC5)</f>
        <v>2697175.4400000004</v>
      </c>
    </row>
    <row r="6" spans="1:61" x14ac:dyDescent="0.2">
      <c r="A6" s="158" t="s">
        <v>277</v>
      </c>
      <c r="B6" s="159" t="s">
        <v>222</v>
      </c>
      <c r="C6" s="158">
        <v>440</v>
      </c>
      <c r="D6" s="160">
        <f>'Base de données indicateurs1'!BD41</f>
        <v>3615721.9499999988</v>
      </c>
      <c r="E6" s="13">
        <f>'Base de données indicateurs1'!E41</f>
        <v>41590.01</v>
      </c>
      <c r="F6" s="13">
        <f>'Base de données indicateurs1'!F41</f>
        <v>5897.59</v>
      </c>
      <c r="G6" s="13">
        <f>'Base de données indicateurs1'!G41</f>
        <v>16077.69</v>
      </c>
      <c r="H6" s="13">
        <f>'Base de données indicateurs1'!H41</f>
        <v>7211.04</v>
      </c>
      <c r="I6" s="13">
        <f>'Base de données indicateurs1'!I41</f>
        <v>118201.59</v>
      </c>
      <c r="J6" s="13">
        <f>'Base de données indicateurs1'!J41</f>
        <v>94570.16</v>
      </c>
      <c r="K6" s="13">
        <f>'Base de données indicateurs1'!K41</f>
        <v>61629.97</v>
      </c>
      <c r="L6" s="13">
        <f>'Base de données indicateurs1'!L41</f>
        <v>1060688.7</v>
      </c>
      <c r="M6" s="13">
        <f>'Base de données indicateurs1'!M41</f>
        <v>41934.67</v>
      </c>
      <c r="N6" s="13">
        <f>'Base de données indicateurs1'!N41</f>
        <v>1151.8900000000001</v>
      </c>
      <c r="O6" s="13">
        <f>'Base de données indicateurs1'!O41</f>
        <v>187957.74</v>
      </c>
      <c r="P6" s="13">
        <f>'Base de données indicateurs1'!P41</f>
        <v>8150.67</v>
      </c>
      <c r="Q6" s="13">
        <f>'Base de données indicateurs1'!Q41</f>
        <v>2227.9899999999998</v>
      </c>
      <c r="R6" s="13">
        <f>'Base de données indicateurs1'!R41</f>
        <v>13921.52</v>
      </c>
      <c r="S6" s="13">
        <f>'Base de données indicateurs1'!S41</f>
        <v>9163.36</v>
      </c>
      <c r="T6" s="13">
        <f>'Base de données indicateurs1'!T41</f>
        <v>30783.5</v>
      </c>
      <c r="U6" s="13">
        <f>'Base de données indicateurs1'!U41</f>
        <v>6146.02</v>
      </c>
      <c r="V6" s="13">
        <f>'Base de données indicateurs1'!V41</f>
        <v>17282.080000000002</v>
      </c>
      <c r="W6" s="13">
        <f>'Base de données indicateurs1'!W41</f>
        <v>88393.21</v>
      </c>
      <c r="X6" s="13">
        <f>'Base de données indicateurs1'!X41</f>
        <v>9968.2099999999991</v>
      </c>
      <c r="Y6" s="13">
        <f>'Base de données indicateurs1'!Y41</f>
        <v>61988.41</v>
      </c>
      <c r="Z6" s="13">
        <f>'Base de données indicateurs1'!Z41</f>
        <v>163256.82</v>
      </c>
      <c r="AA6" s="13">
        <f>'Base de données indicateurs1'!AA41</f>
        <v>4939.1000000000004</v>
      </c>
      <c r="AB6" s="13">
        <f>'Base de données indicateurs1'!AB41</f>
        <v>17859.07</v>
      </c>
      <c r="AC6" s="13">
        <f>'Base de données indicateurs1'!AC41</f>
        <v>12477.43</v>
      </c>
      <c r="AD6" s="13">
        <f>'Base de données indicateurs1'!AD41</f>
        <v>20898.86</v>
      </c>
      <c r="AE6" s="13">
        <f>'Base de données indicateurs1'!AE41</f>
        <v>12743.48</v>
      </c>
      <c r="AF6" s="13">
        <f>'Base de données indicateurs1'!AF41</f>
        <v>53241.17</v>
      </c>
      <c r="AG6" s="13">
        <f>'Base de données indicateurs1'!AG41</f>
        <v>93461.4</v>
      </c>
      <c r="AH6" s="13">
        <f>'Base de données indicateurs1'!AH41</f>
        <v>12970.67</v>
      </c>
      <c r="AI6" s="13">
        <f>'Base de données indicateurs1'!AI41</f>
        <v>2819.68</v>
      </c>
      <c r="AJ6" s="13">
        <f>'Base de données indicateurs1'!AJ41</f>
        <v>84068.94</v>
      </c>
      <c r="AK6" s="13">
        <f>'Base de données indicateurs1'!AK41</f>
        <v>120458.13</v>
      </c>
      <c r="AL6" s="13">
        <f>'Base de données indicateurs1'!AL41</f>
        <v>48407.38</v>
      </c>
      <c r="AM6" s="13">
        <f>'Base de données indicateurs1'!AM41</f>
        <v>8035.44</v>
      </c>
      <c r="AN6" s="13">
        <f>'Base de données indicateurs1'!AN41</f>
        <v>53601.1</v>
      </c>
      <c r="AO6" s="13">
        <f>'Base de données indicateurs1'!AO41</f>
        <v>44757.07</v>
      </c>
      <c r="AP6" s="13">
        <f>'Base de données indicateurs1'!AP41</f>
        <v>29251.75</v>
      </c>
      <c r="AQ6" s="13">
        <f>'Base de données indicateurs1'!AQ41</f>
        <v>36630.949999999997</v>
      </c>
      <c r="AR6" s="13">
        <f>'Base de données indicateurs1'!AR41</f>
        <v>37519.21</v>
      </c>
      <c r="AS6" s="13">
        <f>'Base de données indicateurs1'!AS41</f>
        <v>54043.43</v>
      </c>
      <c r="AT6" s="13">
        <f>'Base de données indicateurs1'!AT41</f>
        <v>9061.76</v>
      </c>
      <c r="AU6" s="13">
        <f>'Base de données indicateurs1'!AU41</f>
        <v>93439.88</v>
      </c>
      <c r="AV6" s="13">
        <f>'Base de données indicateurs1'!AV41</f>
        <v>20608.8</v>
      </c>
      <c r="AW6" s="13">
        <f>'Base de données indicateurs1'!AW41</f>
        <v>15776.19</v>
      </c>
      <c r="AX6" s="13">
        <f>'Base de données indicateurs1'!AX41</f>
        <v>12253.09</v>
      </c>
      <c r="AY6" s="13">
        <f>'Base de données indicateurs1'!AY41</f>
        <v>76069.14</v>
      </c>
      <c r="AZ6" s="13">
        <f>'Base de données indicateurs1'!AZ41</f>
        <v>25432.080000000002</v>
      </c>
      <c r="BA6" s="13">
        <f>'Base de données indicateurs1'!BA41</f>
        <v>54826.23</v>
      </c>
      <c r="BB6" s="13">
        <f>'Base de données indicateurs1'!BB41</f>
        <v>443493.63</v>
      </c>
      <c r="BC6" s="13">
        <f>'Base de données indicateurs1'!BC41</f>
        <v>68384.05</v>
      </c>
      <c r="BD6" s="13">
        <f>SUM(E6:W6)</f>
        <v>1812979.4</v>
      </c>
      <c r="BE6" s="13">
        <f>SUM(X6:AI6)</f>
        <v>466624.29999999993</v>
      </c>
      <c r="BF6" s="13">
        <f>SUM(AJ6:BC6)</f>
        <v>1336118.25</v>
      </c>
    </row>
    <row r="7" spans="1:61" ht="15" thickBot="1" x14ac:dyDescent="0.25">
      <c r="A7" s="161"/>
      <c r="B7" s="162"/>
      <c r="C7" s="161"/>
      <c r="D7" s="163"/>
      <c r="BD7" s="13"/>
      <c r="BE7" s="13"/>
      <c r="BF7" s="13"/>
    </row>
    <row r="8" spans="1:61" ht="15.75" thickBot="1" x14ac:dyDescent="0.3">
      <c r="A8" s="7" t="s">
        <v>511</v>
      </c>
      <c r="B8" s="108"/>
      <c r="C8" s="7"/>
      <c r="D8" s="164">
        <f>D5-D6</f>
        <v>4169141.9400000018</v>
      </c>
      <c r="E8" s="13">
        <f>E5-E6</f>
        <v>115055.13999999998</v>
      </c>
      <c r="F8" s="13">
        <f t="shared" ref="F8:BC8" si="0">F5-F6</f>
        <v>24919.8</v>
      </c>
      <c r="G8" s="13">
        <f t="shared" si="0"/>
        <v>37283.659999999996</v>
      </c>
      <c r="H8" s="13">
        <f t="shared" si="0"/>
        <v>53677.58</v>
      </c>
      <c r="I8" s="13">
        <f t="shared" si="0"/>
        <v>177933.77</v>
      </c>
      <c r="J8" s="13">
        <f t="shared" si="0"/>
        <v>228292.68000000002</v>
      </c>
      <c r="K8" s="13">
        <f t="shared" si="0"/>
        <v>94145.420000000013</v>
      </c>
      <c r="L8" s="13">
        <f t="shared" si="0"/>
        <v>1468862.4200000002</v>
      </c>
      <c r="M8" s="13">
        <f t="shared" si="0"/>
        <v>14502.54</v>
      </c>
      <c r="N8" s="13">
        <f t="shared" si="0"/>
        <v>5558.45</v>
      </c>
      <c r="O8" s="13">
        <f t="shared" si="0"/>
        <v>262340.10000000003</v>
      </c>
      <c r="P8" s="13">
        <f t="shared" si="0"/>
        <v>30444.190000000002</v>
      </c>
      <c r="Q8" s="13">
        <f t="shared" si="0"/>
        <v>6671.51</v>
      </c>
      <c r="R8" s="13">
        <f t="shared" si="0"/>
        <v>7505.23</v>
      </c>
      <c r="S8" s="13">
        <f t="shared" si="0"/>
        <v>56965.710000000006</v>
      </c>
      <c r="T8" s="13">
        <f t="shared" si="0"/>
        <v>11060.699999999997</v>
      </c>
      <c r="U8" s="13">
        <f t="shared" si="0"/>
        <v>10849.2</v>
      </c>
      <c r="V8" s="13">
        <f t="shared" si="0"/>
        <v>16946.68</v>
      </c>
      <c r="W8" s="13">
        <f t="shared" si="0"/>
        <v>107654.71</v>
      </c>
      <c r="X8" s="13">
        <f t="shared" si="0"/>
        <v>-5205.6399999999994</v>
      </c>
      <c r="Y8" s="13">
        <f t="shared" si="0"/>
        <v>73589.639999999985</v>
      </c>
      <c r="Z8" s="13">
        <f t="shared" si="0"/>
        <v>-153643.42000000001</v>
      </c>
      <c r="AA8" s="13">
        <f t="shared" si="0"/>
        <v>-133.65000000000055</v>
      </c>
      <c r="AB8" s="13">
        <f t="shared" si="0"/>
        <v>44543.8</v>
      </c>
      <c r="AC8" s="13">
        <f t="shared" si="0"/>
        <v>57332.719999999994</v>
      </c>
      <c r="AD8" s="13">
        <f t="shared" si="0"/>
        <v>24532.479999999996</v>
      </c>
      <c r="AE8" s="13">
        <f t="shared" si="0"/>
        <v>-4977.7699999999995</v>
      </c>
      <c r="AF8" s="13">
        <f t="shared" si="0"/>
        <v>-11165.830000000002</v>
      </c>
      <c r="AG8" s="13">
        <f t="shared" si="0"/>
        <v>45548.929999999993</v>
      </c>
      <c r="AH8" s="13">
        <f t="shared" si="0"/>
        <v>5385.2199999999993</v>
      </c>
      <c r="AI8" s="13">
        <f t="shared" si="0"/>
        <v>1608.7800000000002</v>
      </c>
      <c r="AJ8" s="13">
        <f t="shared" si="0"/>
        <v>94770.82</v>
      </c>
      <c r="AK8" s="13">
        <f t="shared" si="0"/>
        <v>3979.0800000000017</v>
      </c>
      <c r="AL8" s="13">
        <f t="shared" si="0"/>
        <v>84758.139999999985</v>
      </c>
      <c r="AM8" s="13">
        <f t="shared" si="0"/>
        <v>11187.050000000003</v>
      </c>
      <c r="AN8" s="13">
        <f t="shared" si="0"/>
        <v>35923.340000000004</v>
      </c>
      <c r="AO8" s="13">
        <f t="shared" si="0"/>
        <v>41693.879999999997</v>
      </c>
      <c r="AP8" s="13">
        <f t="shared" si="0"/>
        <v>50572.44</v>
      </c>
      <c r="AQ8" s="13">
        <f t="shared" si="0"/>
        <v>53304.86</v>
      </c>
      <c r="AR8" s="13">
        <f t="shared" si="0"/>
        <v>27556.82</v>
      </c>
      <c r="AS8" s="13">
        <f t="shared" si="0"/>
        <v>50707.359999999993</v>
      </c>
      <c r="AT8" s="13">
        <f t="shared" si="0"/>
        <v>12229.53</v>
      </c>
      <c r="AU8" s="13">
        <f t="shared" si="0"/>
        <v>127756.65</v>
      </c>
      <c r="AV8" s="13">
        <f t="shared" si="0"/>
        <v>40477.380000000005</v>
      </c>
      <c r="AW8" s="13">
        <f t="shared" si="0"/>
        <v>-7792.9400000000005</v>
      </c>
      <c r="AX8" s="13">
        <f t="shared" si="0"/>
        <v>3916.9400000000005</v>
      </c>
      <c r="AY8" s="13">
        <f t="shared" si="0"/>
        <v>225643.89999999997</v>
      </c>
      <c r="AZ8" s="13">
        <f t="shared" si="0"/>
        <v>21424.53</v>
      </c>
      <c r="BA8" s="13">
        <f t="shared" si="0"/>
        <v>66511.28</v>
      </c>
      <c r="BB8" s="13">
        <f t="shared" si="0"/>
        <v>439136.1</v>
      </c>
      <c r="BC8" s="13">
        <f t="shared" si="0"/>
        <v>-22699.97</v>
      </c>
      <c r="BD8" s="13">
        <f>SUM(E8:W8)</f>
        <v>2730669.4900000007</v>
      </c>
      <c r="BE8" s="13">
        <f>SUM(X8:AI8)</f>
        <v>77415.259999999966</v>
      </c>
      <c r="BF8" s="13">
        <f>SUM(AJ8:BC8)</f>
        <v>1361057.1900000002</v>
      </c>
    </row>
    <row r="9" spans="1:61" x14ac:dyDescent="0.2">
      <c r="B9" s="165"/>
      <c r="D9" s="13"/>
      <c r="BD9" s="13"/>
      <c r="BE9" s="13"/>
      <c r="BF9" s="13"/>
    </row>
    <row r="10" spans="1:61" x14ac:dyDescent="0.2">
      <c r="A10" s="155" t="s">
        <v>133</v>
      </c>
      <c r="B10" s="156" t="s">
        <v>221</v>
      </c>
      <c r="C10" s="155">
        <v>4</v>
      </c>
      <c r="D10" s="157">
        <f>'Base de données indicateurs1'!BD37</f>
        <v>442897570.28999996</v>
      </c>
      <c r="E10" s="13">
        <f>'Base de données indicateurs1'!E37</f>
        <v>4173515.8</v>
      </c>
      <c r="F10" s="13">
        <f>'Base de données indicateurs1'!F37</f>
        <v>1250774.7000000002</v>
      </c>
      <c r="G10" s="13">
        <f>'Base de données indicateurs1'!G37</f>
        <v>1723517.38</v>
      </c>
      <c r="H10" s="13">
        <f>'Base de données indicateurs1'!H37</f>
        <v>2249327.85</v>
      </c>
      <c r="I10" s="13">
        <f>'Base de données indicateurs1'!I37</f>
        <v>17577200.880000003</v>
      </c>
      <c r="J10" s="13">
        <f>'Base de données indicateurs1'!J37</f>
        <v>15225981.550000001</v>
      </c>
      <c r="K10" s="13">
        <f>'Base de données indicateurs1'!K37</f>
        <v>11966048.100000003</v>
      </c>
      <c r="L10" s="13">
        <f>'Base de données indicateurs1'!L37</f>
        <v>121245036.62</v>
      </c>
      <c r="M10" s="13">
        <f>'Base de données indicateurs1'!M37</f>
        <v>8604374.2700000014</v>
      </c>
      <c r="N10" s="13">
        <f>'Base de données indicateurs1'!N37</f>
        <v>521636.49000000005</v>
      </c>
      <c r="O10" s="13">
        <f>'Base de données indicateurs1'!O37</f>
        <v>29152374.52</v>
      </c>
      <c r="P10" s="13">
        <f>'Base de données indicateurs1'!P37</f>
        <v>2064231.6400000001</v>
      </c>
      <c r="Q10" s="13">
        <f>'Base de données indicateurs1'!Q37</f>
        <v>385240.59</v>
      </c>
      <c r="R10" s="13">
        <f>'Base de données indicateurs1'!R37</f>
        <v>1838868.9400000002</v>
      </c>
      <c r="S10" s="13">
        <f>'Base de données indicateurs1'!S37</f>
        <v>1417234.0799999998</v>
      </c>
      <c r="T10" s="13">
        <f>'Base de données indicateurs1'!T37</f>
        <v>3407247.7600000002</v>
      </c>
      <c r="U10" s="13">
        <f>'Base de données indicateurs1'!U37</f>
        <v>1071762.5200000003</v>
      </c>
      <c r="V10" s="13">
        <f>'Base de données indicateurs1'!V37</f>
        <v>2502444.3600000003</v>
      </c>
      <c r="W10" s="13">
        <f>'Base de données indicateurs1'!W37</f>
        <v>12870647.150000002</v>
      </c>
      <c r="X10" s="13">
        <f>'Base de données indicateurs1'!X37</f>
        <v>2007494.0599999998</v>
      </c>
      <c r="Y10" s="13">
        <f>'Base de données indicateurs1'!Y37</f>
        <v>7336082.8700000001</v>
      </c>
      <c r="Z10" s="13">
        <f>'Base de données indicateurs1'!Z37</f>
        <v>19905517.039999995</v>
      </c>
      <c r="AA10" s="13">
        <f>'Base de données indicateurs1'!AA37</f>
        <v>901751.94</v>
      </c>
      <c r="AB10" s="13">
        <f>'Base de données indicateurs1'!AB37</f>
        <v>2574362.3800000004</v>
      </c>
      <c r="AC10" s="13">
        <f>'Base de données indicateurs1'!AC37</f>
        <v>4057886.8399999989</v>
      </c>
      <c r="AD10" s="13">
        <f>'Base de données indicateurs1'!AD37</f>
        <v>2880641.15</v>
      </c>
      <c r="AE10" s="13">
        <f>'Base de données indicateurs1'!AE37</f>
        <v>4349355.290000001</v>
      </c>
      <c r="AF10" s="13">
        <f>'Base de données indicateurs1'!AF37</f>
        <v>11582709.359999999</v>
      </c>
      <c r="AG10" s="13">
        <f>'Base de données indicateurs1'!AG37</f>
        <v>13633060.380000003</v>
      </c>
      <c r="AH10" s="13">
        <f>'Base de données indicateurs1'!AH37</f>
        <v>1094921.03</v>
      </c>
      <c r="AI10" s="13">
        <f>'Base de données indicateurs1'!AI37</f>
        <v>701599.10000000009</v>
      </c>
      <c r="AJ10" s="13">
        <f>'Base de données indicateurs1'!AJ37</f>
        <v>8627823.7899999991</v>
      </c>
      <c r="AK10" s="13">
        <f>'Base de données indicateurs1'!AK37</f>
        <v>6103839.5599999996</v>
      </c>
      <c r="AL10" s="13">
        <f>'Base de données indicateurs1'!AL37</f>
        <v>5460977.8900000006</v>
      </c>
      <c r="AM10" s="13">
        <f>'Base de données indicateurs1'!AM37</f>
        <v>667823.12999999989</v>
      </c>
      <c r="AN10" s="13">
        <f>'Base de données indicateurs1'!AN37</f>
        <v>10602527.349999996</v>
      </c>
      <c r="AO10" s="13">
        <f>'Base de données indicateurs1'!AO37</f>
        <v>3541524.79</v>
      </c>
      <c r="AP10" s="13">
        <f>'Base de données indicateurs1'!AP37</f>
        <v>3077051.37</v>
      </c>
      <c r="AQ10" s="13">
        <f>'Base de données indicateurs1'!AQ37</f>
        <v>6892903.1800000006</v>
      </c>
      <c r="AR10" s="13">
        <f>'Base de données indicateurs1'!AR37</f>
        <v>3216761.1700000004</v>
      </c>
      <c r="AS10" s="13">
        <f>'Base de données indicateurs1'!AS37</f>
        <v>4898137.92</v>
      </c>
      <c r="AT10" s="13">
        <f>'Base de données indicateurs1'!AT37</f>
        <v>1647193.4</v>
      </c>
      <c r="AU10" s="13">
        <f>'Base de données indicateurs1'!AU37</f>
        <v>10691140.91</v>
      </c>
      <c r="AV10" s="13">
        <f>'Base de données indicateurs1'!AV37</f>
        <v>3511456.46</v>
      </c>
      <c r="AW10" s="13">
        <f>'Base de données indicateurs1'!AW37</f>
        <v>2022721.17</v>
      </c>
      <c r="AX10" s="13">
        <f>'Base de données indicateurs1'!AX37</f>
        <v>1399248.07</v>
      </c>
      <c r="AY10" s="13">
        <f>'Base de données indicateurs1'!AY37</f>
        <v>7544019.6200000001</v>
      </c>
      <c r="AZ10" s="13">
        <f>'Base de données indicateurs1'!AZ37</f>
        <v>1868386.9200000002</v>
      </c>
      <c r="BA10" s="13">
        <f>'Base de données indicateurs1'!BA37</f>
        <v>5764344.9000000013</v>
      </c>
      <c r="BB10" s="13">
        <f>'Base de données indicateurs1'!BB37</f>
        <v>42437275.769999996</v>
      </c>
      <c r="BC10" s="13">
        <f>'Base de données indicateurs1'!BC37</f>
        <v>2649566.2800000003</v>
      </c>
      <c r="BD10" s="13">
        <f>SUM(E10:W10)</f>
        <v>239247465.20000005</v>
      </c>
      <c r="BE10" s="13">
        <f>SUM(X10:AI10)</f>
        <v>71025381.439999998</v>
      </c>
      <c r="BF10" s="13">
        <f>SUM(AJ10:BC10)</f>
        <v>132624723.64999999</v>
      </c>
    </row>
    <row r="11" spans="1:61" x14ac:dyDescent="0.2">
      <c r="A11" s="158" t="s">
        <v>115</v>
      </c>
      <c r="B11" s="159" t="s">
        <v>222</v>
      </c>
      <c r="C11" s="158">
        <v>47</v>
      </c>
      <c r="D11" s="160">
        <f>'Base de données indicateurs1'!BD50</f>
        <v>2823492.4000000004</v>
      </c>
      <c r="E11" s="13">
        <f>'Base de données indicateurs1'!E50</f>
        <v>0</v>
      </c>
      <c r="F11" s="13">
        <f>'Base de données indicateurs1'!F50</f>
        <v>0</v>
      </c>
      <c r="G11" s="13">
        <f>'Base de données indicateurs1'!G50</f>
        <v>0</v>
      </c>
      <c r="H11" s="13">
        <f>'Base de données indicateurs1'!H50</f>
        <v>0</v>
      </c>
      <c r="I11" s="13">
        <f>'Base de données indicateurs1'!I50</f>
        <v>0</v>
      </c>
      <c r="J11" s="13">
        <f>'Base de données indicateurs1'!J50</f>
        <v>0</v>
      </c>
      <c r="K11" s="13">
        <f>'Base de données indicateurs1'!K50</f>
        <v>0</v>
      </c>
      <c r="L11" s="13">
        <f>'Base de données indicateurs1'!L50</f>
        <v>0</v>
      </c>
      <c r="M11" s="13">
        <f>'Base de données indicateurs1'!M50</f>
        <v>0</v>
      </c>
      <c r="N11" s="13">
        <f>'Base de données indicateurs1'!N50</f>
        <v>0</v>
      </c>
      <c r="O11" s="13">
        <f>'Base de données indicateurs1'!O50</f>
        <v>0</v>
      </c>
      <c r="P11" s="13">
        <f>'Base de données indicateurs1'!P50</f>
        <v>0</v>
      </c>
      <c r="Q11" s="13">
        <f>'Base de données indicateurs1'!Q50</f>
        <v>0</v>
      </c>
      <c r="R11" s="13">
        <f>'Base de données indicateurs1'!R50</f>
        <v>0</v>
      </c>
      <c r="S11" s="13">
        <f>'Base de données indicateurs1'!S50</f>
        <v>0</v>
      </c>
      <c r="T11" s="13">
        <f>'Base de données indicateurs1'!T50</f>
        <v>0</v>
      </c>
      <c r="U11" s="13">
        <f>'Base de données indicateurs1'!U50</f>
        <v>0</v>
      </c>
      <c r="V11" s="13">
        <f>'Base de données indicateurs1'!V50</f>
        <v>0</v>
      </c>
      <c r="W11" s="13">
        <f>'Base de données indicateurs1'!W50</f>
        <v>0</v>
      </c>
      <c r="X11" s="13">
        <f>'Base de données indicateurs1'!X50</f>
        <v>466114.95</v>
      </c>
      <c r="Y11" s="13">
        <f>'Base de données indicateurs1'!Y50</f>
        <v>0</v>
      </c>
      <c r="Z11" s="13">
        <f>'Base de données indicateurs1'!Z50</f>
        <v>585449.4</v>
      </c>
      <c r="AA11" s="13">
        <f>'Base de données indicateurs1'!AA50</f>
        <v>195651.95</v>
      </c>
      <c r="AB11" s="13">
        <f>'Base de données indicateurs1'!AB50</f>
        <v>157177.60000000001</v>
      </c>
      <c r="AC11" s="13">
        <f>'Base de données indicateurs1'!AC50</f>
        <v>0</v>
      </c>
      <c r="AD11" s="13">
        <f>'Base de données indicateurs1'!AD50</f>
        <v>249241</v>
      </c>
      <c r="AE11" s="13">
        <f>'Base de données indicateurs1'!AE50</f>
        <v>608649.4</v>
      </c>
      <c r="AF11" s="13">
        <f>'Base de données indicateurs1'!AF50</f>
        <v>417668.5</v>
      </c>
      <c r="AG11" s="13">
        <f>'Base de données indicateurs1'!AG50</f>
        <v>0</v>
      </c>
      <c r="AH11" s="13">
        <f>'Base de données indicateurs1'!AH50</f>
        <v>2864</v>
      </c>
      <c r="AI11" s="13">
        <f>'Base de données indicateurs1'!AI50</f>
        <v>0</v>
      </c>
      <c r="AJ11" s="13">
        <f>'Base de données indicateurs1'!AJ50</f>
        <v>0</v>
      </c>
      <c r="AK11" s="13">
        <f>'Base de données indicateurs1'!AK50</f>
        <v>0</v>
      </c>
      <c r="AL11" s="13">
        <f>'Base de données indicateurs1'!AL50</f>
        <v>0</v>
      </c>
      <c r="AM11" s="13">
        <f>'Base de données indicateurs1'!AM50</f>
        <v>0</v>
      </c>
      <c r="AN11" s="13">
        <f>'Base de données indicateurs1'!AN50</f>
        <v>0</v>
      </c>
      <c r="AO11" s="13">
        <f>'Base de données indicateurs1'!AO50</f>
        <v>0</v>
      </c>
      <c r="AP11" s="13">
        <f>'Base de données indicateurs1'!AP50</f>
        <v>0</v>
      </c>
      <c r="AQ11" s="13">
        <f>'Base de données indicateurs1'!AQ50</f>
        <v>51182.95</v>
      </c>
      <c r="AR11" s="13">
        <f>'Base de données indicateurs1'!AR50</f>
        <v>0</v>
      </c>
      <c r="AS11" s="13">
        <f>'Base de données indicateurs1'!AS50</f>
        <v>0</v>
      </c>
      <c r="AT11" s="13">
        <f>'Base de données indicateurs1'!AT50</f>
        <v>0</v>
      </c>
      <c r="AU11" s="13">
        <f>'Base de données indicateurs1'!AU50</f>
        <v>79832.649999999994</v>
      </c>
      <c r="AV11" s="13">
        <f>'Base de données indicateurs1'!AV50</f>
        <v>9660</v>
      </c>
      <c r="AW11" s="13">
        <f>'Base de données indicateurs1'!AW50</f>
        <v>0</v>
      </c>
      <c r="AX11" s="13">
        <f>'Base de données indicateurs1'!AX50</f>
        <v>0</v>
      </c>
      <c r="AY11" s="13">
        <f>'Base de données indicateurs1'!AY50</f>
        <v>0</v>
      </c>
      <c r="AZ11" s="13">
        <f>'Base de données indicateurs1'!AZ50</f>
        <v>0</v>
      </c>
      <c r="BA11" s="13">
        <f>'Base de données indicateurs1'!BA50</f>
        <v>0</v>
      </c>
      <c r="BB11" s="13">
        <f>'Base de données indicateurs1'!BB50</f>
        <v>0</v>
      </c>
      <c r="BC11" s="13">
        <f>'Base de données indicateurs1'!BC50</f>
        <v>0</v>
      </c>
      <c r="BD11" s="13">
        <f>SUM(E11:W11)</f>
        <v>0</v>
      </c>
      <c r="BE11" s="13">
        <f>SUM(X11:AI11)</f>
        <v>2682816.8000000003</v>
      </c>
      <c r="BF11" s="13">
        <f>SUM(AJ11:BC11)</f>
        <v>140675.59999999998</v>
      </c>
    </row>
    <row r="12" spans="1:61" x14ac:dyDescent="0.2">
      <c r="A12" s="158" t="s">
        <v>124</v>
      </c>
      <c r="B12" s="159" t="s">
        <v>222</v>
      </c>
      <c r="C12" s="158">
        <v>49</v>
      </c>
      <c r="D12" s="160">
        <f>'Base de données indicateurs1'!BD53</f>
        <v>7971794.1600000001</v>
      </c>
      <c r="E12" s="13">
        <f>'Base de données indicateurs1'!E53</f>
        <v>0</v>
      </c>
      <c r="F12" s="13">
        <f>'Base de données indicateurs1'!F53</f>
        <v>27370.260000000002</v>
      </c>
      <c r="G12" s="13">
        <f>'Base de données indicateurs1'!G53</f>
        <v>6509.25</v>
      </c>
      <c r="H12" s="13">
        <f>'Base de données indicateurs1'!H53</f>
        <v>55508.800000000003</v>
      </c>
      <c r="I12" s="13">
        <f>'Base de données indicateurs1'!I53</f>
        <v>319450</v>
      </c>
      <c r="J12" s="13">
        <f>'Base de données indicateurs1'!J53</f>
        <v>91570</v>
      </c>
      <c r="K12" s="13">
        <f>'Base de données indicateurs1'!K53</f>
        <v>216161.1</v>
      </c>
      <c r="L12" s="13">
        <f>'Base de données indicateurs1'!L53</f>
        <v>5081197.18</v>
      </c>
      <c r="M12" s="13">
        <f>'Base de données indicateurs1'!M53</f>
        <v>91691.56</v>
      </c>
      <c r="N12" s="13">
        <f>'Base de données indicateurs1'!N53</f>
        <v>9236.35</v>
      </c>
      <c r="O12" s="13">
        <f>'Base de données indicateurs1'!O53</f>
        <v>317089.40000000002</v>
      </c>
      <c r="P12" s="13">
        <f>'Base de données indicateurs1'!P53</f>
        <v>13217.6</v>
      </c>
      <c r="Q12" s="13">
        <f>'Base de données indicateurs1'!Q53</f>
        <v>0</v>
      </c>
      <c r="R12" s="13">
        <f>'Base de données indicateurs1'!R53</f>
        <v>69791.649999999994</v>
      </c>
      <c r="S12" s="13">
        <f>'Base de données indicateurs1'!S53</f>
        <v>0</v>
      </c>
      <c r="T12" s="13">
        <f>'Base de données indicateurs1'!T53</f>
        <v>0</v>
      </c>
      <c r="U12" s="13">
        <f>'Base de données indicateurs1'!U53</f>
        <v>0</v>
      </c>
      <c r="V12" s="13">
        <f>'Base de données indicateurs1'!V53</f>
        <v>73000</v>
      </c>
      <c r="W12" s="13">
        <f>'Base de données indicateurs1'!W53</f>
        <v>118800</v>
      </c>
      <c r="X12" s="13">
        <f>'Base de données indicateurs1'!X53</f>
        <v>0</v>
      </c>
      <c r="Y12" s="13">
        <f>'Base de données indicateurs1'!Y53</f>
        <v>0</v>
      </c>
      <c r="Z12" s="13">
        <f>'Base de données indicateurs1'!Z53</f>
        <v>551427</v>
      </c>
      <c r="AA12" s="13">
        <f>'Base de données indicateurs1'!AA53</f>
        <v>0</v>
      </c>
      <c r="AB12" s="13">
        <f>'Base de données indicateurs1'!AB53</f>
        <v>0</v>
      </c>
      <c r="AC12" s="13">
        <f>'Base de données indicateurs1'!AC53</f>
        <v>44455.9</v>
      </c>
      <c r="AD12" s="13">
        <f>'Base de données indicateurs1'!AD53</f>
        <v>11819</v>
      </c>
      <c r="AE12" s="13">
        <f>'Base de données indicateurs1'!AE53</f>
        <v>105587.15</v>
      </c>
      <c r="AF12" s="13">
        <f>'Base de données indicateurs1'!AF53</f>
        <v>14579.45</v>
      </c>
      <c r="AG12" s="13">
        <f>'Base de données indicateurs1'!AG53</f>
        <v>30900</v>
      </c>
      <c r="AH12" s="13">
        <f>'Base de données indicateurs1'!AH53</f>
        <v>0</v>
      </c>
      <c r="AI12" s="13">
        <f>'Base de données indicateurs1'!AI53</f>
        <v>0</v>
      </c>
      <c r="AJ12" s="13">
        <f>'Base de données indicateurs1'!AJ53</f>
        <v>93000</v>
      </c>
      <c r="AK12" s="13">
        <f>'Base de données indicateurs1'!AK53</f>
        <v>56246.85</v>
      </c>
      <c r="AL12" s="13">
        <f>'Base de données indicateurs1'!AL53</f>
        <v>2993.7</v>
      </c>
      <c r="AM12" s="13">
        <f>'Base de données indicateurs1'!AM53</f>
        <v>11541.94</v>
      </c>
      <c r="AN12" s="13">
        <f>'Base de données indicateurs1'!AN53</f>
        <v>37093.449999999997</v>
      </c>
      <c r="AO12" s="13">
        <f>'Base de données indicateurs1'!AO53</f>
        <v>98947.05</v>
      </c>
      <c r="AP12" s="13">
        <f>'Base de données indicateurs1'!AP53</f>
        <v>0</v>
      </c>
      <c r="AQ12" s="13">
        <f>'Base de données indicateurs1'!AQ53</f>
        <v>0</v>
      </c>
      <c r="AR12" s="13">
        <f>'Base de données indicateurs1'!AR53</f>
        <v>50915.37</v>
      </c>
      <c r="AS12" s="13">
        <f>'Base de données indicateurs1'!AS53</f>
        <v>53582.2</v>
      </c>
      <c r="AT12" s="13">
        <f>'Base de données indicateurs1'!AT53</f>
        <v>2000</v>
      </c>
      <c r="AU12" s="13">
        <f>'Base de données indicateurs1'!AU53</f>
        <v>136589.6</v>
      </c>
      <c r="AV12" s="13">
        <f>'Base de données indicateurs1'!AV53</f>
        <v>0</v>
      </c>
      <c r="AW12" s="13">
        <f>'Base de données indicateurs1'!AW53</f>
        <v>7519.65</v>
      </c>
      <c r="AX12" s="13">
        <f>'Base de données indicateurs1'!AX53</f>
        <v>0</v>
      </c>
      <c r="AY12" s="13">
        <f>'Base de données indicateurs1'!AY53</f>
        <v>108882.25</v>
      </c>
      <c r="AZ12" s="13">
        <f>'Base de données indicateurs1'!AZ53</f>
        <v>0</v>
      </c>
      <c r="BA12" s="13">
        <f>'Base de données indicateurs1'!BA53</f>
        <v>47620.45</v>
      </c>
      <c r="BB12" s="13">
        <f>'Base de données indicateurs1'!BB53</f>
        <v>0</v>
      </c>
      <c r="BC12" s="13">
        <f>'Base de données indicateurs1'!BC53</f>
        <v>15500</v>
      </c>
      <c r="BD12" s="13">
        <f>SUM(E12:W12)</f>
        <v>6490593.1499999994</v>
      </c>
      <c r="BE12" s="13">
        <f>SUM(X12:AI12)</f>
        <v>758768.5</v>
      </c>
      <c r="BF12" s="13">
        <f>SUM(AJ12:BC12)</f>
        <v>722432.51</v>
      </c>
    </row>
    <row r="13" spans="1:61" x14ac:dyDescent="0.2">
      <c r="A13" s="158" t="s">
        <v>229</v>
      </c>
      <c r="B13" s="159" t="s">
        <v>222</v>
      </c>
      <c r="C13" s="166">
        <v>489</v>
      </c>
      <c r="D13" s="160">
        <f>'Base de données indicateurs1'!BD51</f>
        <v>1899119.4600000002</v>
      </c>
      <c r="E13" s="13">
        <f>'Base de données indicateurs1'!E51</f>
        <v>7472.87</v>
      </c>
      <c r="F13" s="13">
        <f>'Base de données indicateurs1'!F51</f>
        <v>0</v>
      </c>
      <c r="G13" s="13">
        <f>'Base de données indicateurs1'!G51</f>
        <v>0</v>
      </c>
      <c r="H13" s="13">
        <f>'Base de données indicateurs1'!H51</f>
        <v>2572.4499999999998</v>
      </c>
      <c r="I13" s="13">
        <f>'Base de données indicateurs1'!I51</f>
        <v>164654.79999999999</v>
      </c>
      <c r="J13" s="13">
        <f>'Base de données indicateurs1'!J51</f>
        <v>0</v>
      </c>
      <c r="K13" s="13">
        <f>'Base de données indicateurs1'!K51</f>
        <v>14467.75</v>
      </c>
      <c r="L13" s="13">
        <f>'Base de données indicateurs1'!L51</f>
        <v>1253909</v>
      </c>
      <c r="M13" s="13">
        <f>'Base de données indicateurs1'!M51</f>
        <v>10700</v>
      </c>
      <c r="N13" s="13">
        <f>'Base de données indicateurs1'!N51</f>
        <v>0</v>
      </c>
      <c r="O13" s="13">
        <f>'Base de données indicateurs1'!O51</f>
        <v>413099.54</v>
      </c>
      <c r="P13" s="13">
        <f>'Base de données indicateurs1'!P51</f>
        <v>3001.3</v>
      </c>
      <c r="Q13" s="13">
        <f>'Base de données indicateurs1'!Q51</f>
        <v>0</v>
      </c>
      <c r="R13" s="13">
        <f>'Base de données indicateurs1'!R51</f>
        <v>0</v>
      </c>
      <c r="S13" s="13">
        <f>'Base de données indicateurs1'!S51</f>
        <v>0</v>
      </c>
      <c r="T13" s="13">
        <f>'Base de données indicateurs1'!T51</f>
        <v>8700</v>
      </c>
      <c r="U13" s="13">
        <f>'Base de données indicateurs1'!U51</f>
        <v>667.55</v>
      </c>
      <c r="V13" s="13">
        <f>'Base de données indicateurs1'!V51</f>
        <v>0</v>
      </c>
      <c r="W13" s="13">
        <f>'Base de données indicateurs1'!W51</f>
        <v>13302.8</v>
      </c>
      <c r="X13" s="13">
        <f>'Base de données indicateurs1'!X51</f>
        <v>0</v>
      </c>
      <c r="Y13" s="13">
        <f>'Base de données indicateurs1'!Y51</f>
        <v>0</v>
      </c>
      <c r="Z13" s="13">
        <f>'Base de données indicateurs1'!Z51</f>
        <v>0</v>
      </c>
      <c r="AA13" s="13">
        <f>'Base de données indicateurs1'!AA51</f>
        <v>0</v>
      </c>
      <c r="AB13" s="13">
        <f>'Base de données indicateurs1'!AB51</f>
        <v>0</v>
      </c>
      <c r="AC13" s="13">
        <f>'Base de données indicateurs1'!AC51</f>
        <v>0</v>
      </c>
      <c r="AD13" s="13">
        <f>'Base de données indicateurs1'!AD51</f>
        <v>0</v>
      </c>
      <c r="AE13" s="13">
        <f>'Base de données indicateurs1'!AE51</f>
        <v>0</v>
      </c>
      <c r="AF13" s="13">
        <f>'Base de données indicateurs1'!AF51</f>
        <v>0</v>
      </c>
      <c r="AG13" s="13">
        <f>'Base de données indicateurs1'!AG51</f>
        <v>0</v>
      </c>
      <c r="AH13" s="13">
        <f>'Base de données indicateurs1'!AH51</f>
        <v>0</v>
      </c>
      <c r="AI13" s="13">
        <f>'Base de données indicateurs1'!AI51</f>
        <v>0</v>
      </c>
      <c r="AJ13" s="13">
        <f>'Base de données indicateurs1'!AJ51</f>
        <v>0</v>
      </c>
      <c r="AK13" s="13">
        <f>'Base de données indicateurs1'!AK51</f>
        <v>0</v>
      </c>
      <c r="AL13" s="13">
        <f>'Base de données indicateurs1'!AL51</f>
        <v>0</v>
      </c>
      <c r="AM13" s="13">
        <f>'Base de données indicateurs1'!AM51</f>
        <v>0</v>
      </c>
      <c r="AN13" s="13">
        <f>'Base de données indicateurs1'!AN51</f>
        <v>0</v>
      </c>
      <c r="AO13" s="13">
        <f>'Base de données indicateurs1'!AO51</f>
        <v>607</v>
      </c>
      <c r="AP13" s="13">
        <f>'Base de données indicateurs1'!AP51</f>
        <v>567</v>
      </c>
      <c r="AQ13" s="13">
        <f>'Base de données indicateurs1'!AQ51</f>
        <v>0</v>
      </c>
      <c r="AR13" s="13">
        <f>'Base de données indicateurs1'!AR51</f>
        <v>422</v>
      </c>
      <c r="AS13" s="13">
        <f>'Base de données indicateurs1'!AS51</f>
        <v>0</v>
      </c>
      <c r="AT13" s="13">
        <f>'Base de données indicateurs1'!AT51</f>
        <v>0</v>
      </c>
      <c r="AU13" s="13">
        <f>'Base de données indicateurs1'!AU51</f>
        <v>0</v>
      </c>
      <c r="AV13" s="13">
        <f>'Base de données indicateurs1'!AV51</f>
        <v>633</v>
      </c>
      <c r="AW13" s="13">
        <f>'Base de données indicateurs1'!AW51</f>
        <v>442</v>
      </c>
      <c r="AX13" s="13">
        <f>'Base de données indicateurs1'!AX51</f>
        <v>311</v>
      </c>
      <c r="AY13" s="13">
        <f>'Base de données indicateurs1'!AY51</f>
        <v>1597</v>
      </c>
      <c r="AZ13" s="13">
        <f>'Base de données indicateurs1'!AZ51</f>
        <v>319</v>
      </c>
      <c r="BA13" s="13">
        <f>'Base de données indicateurs1'!BA51</f>
        <v>1083.4000000000001</v>
      </c>
      <c r="BB13" s="13">
        <f>'Base de données indicateurs1'!BB51</f>
        <v>0</v>
      </c>
      <c r="BC13" s="13">
        <f>'Base de données indicateurs1'!BC51</f>
        <v>590</v>
      </c>
      <c r="BD13" s="13">
        <f>SUM(E13:W13)</f>
        <v>1892548.0600000003</v>
      </c>
      <c r="BE13" s="13">
        <f>SUM(X13:AI13)</f>
        <v>0</v>
      </c>
      <c r="BF13" s="13">
        <f>SUM(AJ13:BC13)</f>
        <v>6571.4</v>
      </c>
    </row>
    <row r="14" spans="1:61" x14ac:dyDescent="0.2">
      <c r="A14" s="158" t="s">
        <v>512</v>
      </c>
      <c r="B14" s="159" t="s">
        <v>221</v>
      </c>
      <c r="C14" s="158">
        <v>4896</v>
      </c>
      <c r="D14" s="160">
        <f>'Base de données indicateurs1'!BD52</f>
        <v>228387.34</v>
      </c>
      <c r="E14" s="13">
        <f>'Base de données indicateurs1'!E52</f>
        <v>0</v>
      </c>
      <c r="F14" s="13">
        <f>'Base de données indicateurs1'!F52</f>
        <v>0</v>
      </c>
      <c r="G14" s="13">
        <f>'Base de données indicateurs1'!G52</f>
        <v>0</v>
      </c>
      <c r="H14" s="13">
        <f>'Base de données indicateurs1'!H52</f>
        <v>0</v>
      </c>
      <c r="I14" s="13">
        <f>'Base de données indicateurs1'!I52</f>
        <v>164654.79999999999</v>
      </c>
      <c r="J14" s="13">
        <f>'Base de données indicateurs1'!J52</f>
        <v>0</v>
      </c>
      <c r="K14" s="13">
        <f>'Base de données indicateurs1'!K52</f>
        <v>0</v>
      </c>
      <c r="L14" s="13">
        <f>'Base de données indicateurs1'!L52</f>
        <v>0</v>
      </c>
      <c r="M14" s="13">
        <f>'Base de données indicateurs1'!M52</f>
        <v>0</v>
      </c>
      <c r="N14" s="13">
        <f>'Base de données indicateurs1'!N52</f>
        <v>0</v>
      </c>
      <c r="O14" s="13">
        <f>'Base de données indicateurs1'!O52</f>
        <v>63099.54</v>
      </c>
      <c r="P14" s="13">
        <f>'Base de données indicateurs1'!P52</f>
        <v>0</v>
      </c>
      <c r="Q14" s="13">
        <f>'Base de données indicateurs1'!Q52</f>
        <v>0</v>
      </c>
      <c r="R14" s="13">
        <f>'Base de données indicateurs1'!R52</f>
        <v>0</v>
      </c>
      <c r="S14" s="13">
        <f>'Base de données indicateurs1'!S52</f>
        <v>0</v>
      </c>
      <c r="T14" s="13">
        <f>'Base de données indicateurs1'!T52</f>
        <v>0</v>
      </c>
      <c r="U14" s="13">
        <f>'Base de données indicateurs1'!U52</f>
        <v>0</v>
      </c>
      <c r="V14" s="13">
        <f>'Base de données indicateurs1'!V52</f>
        <v>0</v>
      </c>
      <c r="W14" s="13">
        <f>'Base de données indicateurs1'!W52</f>
        <v>0</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0</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0</v>
      </c>
      <c r="AM14" s="13">
        <f>'Base de données indicateurs1'!AM52</f>
        <v>0</v>
      </c>
      <c r="AN14" s="13">
        <f>'Base de données indicateurs1'!AN52</f>
        <v>0</v>
      </c>
      <c r="AO14" s="13">
        <f>'Base de données indicateurs1'!AO52</f>
        <v>0</v>
      </c>
      <c r="AP14" s="13">
        <f>'Base de données indicateurs1'!AP52</f>
        <v>0</v>
      </c>
      <c r="AQ14" s="13">
        <f>'Base de données indicateurs1'!AQ52</f>
        <v>0</v>
      </c>
      <c r="AR14" s="13">
        <f>'Base de données indicateurs1'!AR52</f>
        <v>0</v>
      </c>
      <c r="AS14" s="13">
        <f>'Base de données indicateurs1'!AS52</f>
        <v>0</v>
      </c>
      <c r="AT14" s="13">
        <f>'Base de données indicateurs1'!AT52</f>
        <v>0</v>
      </c>
      <c r="AU14" s="13">
        <f>'Base de données indicateurs1'!AU52</f>
        <v>0</v>
      </c>
      <c r="AV14" s="13">
        <f>'Base de données indicateurs1'!AV52</f>
        <v>633</v>
      </c>
      <c r="AW14" s="13">
        <f>'Base de données indicateurs1'!AW52</f>
        <v>0</v>
      </c>
      <c r="AX14" s="13">
        <f>'Base de données indicateurs1'!AX52</f>
        <v>0</v>
      </c>
      <c r="AY14" s="13">
        <f>'Base de données indicateurs1'!AY52</f>
        <v>0</v>
      </c>
      <c r="AZ14" s="13">
        <f>'Base de données indicateurs1'!AZ52</f>
        <v>0</v>
      </c>
      <c r="BA14" s="13">
        <f>'Base de données indicateurs1'!BA52</f>
        <v>0</v>
      </c>
      <c r="BB14" s="13">
        <f>'Base de données indicateurs1'!BB52</f>
        <v>0</v>
      </c>
      <c r="BC14" s="13">
        <f>'Base de données indicateurs1'!BC52</f>
        <v>0</v>
      </c>
      <c r="BD14" s="13">
        <f>SUM(E14:W14)</f>
        <v>227754.34</v>
      </c>
      <c r="BE14" s="13">
        <f>SUM(X14:AI14)</f>
        <v>0</v>
      </c>
      <c r="BF14" s="13">
        <f>SUM(AJ14:BC14)</f>
        <v>633</v>
      </c>
      <c r="BI14" s="13"/>
    </row>
    <row r="15" spans="1:61" ht="15" thickBot="1" x14ac:dyDescent="0.25">
      <c r="A15" s="161"/>
      <c r="B15" s="162"/>
      <c r="C15" s="161"/>
      <c r="D15" s="163"/>
      <c r="BD15" s="13"/>
      <c r="BE15" s="13"/>
      <c r="BF15" s="13"/>
    </row>
    <row r="16" spans="1:61" ht="15.75" thickBot="1" x14ac:dyDescent="0.3">
      <c r="A16" s="7" t="s">
        <v>513</v>
      </c>
      <c r="B16" s="108"/>
      <c r="C16" s="7"/>
      <c r="D16" s="164">
        <f>SUM(D10,D14)-SUM(D11:D13)</f>
        <v>430431551.60999995</v>
      </c>
      <c r="E16" s="173">
        <f>SUM(E10,E14)-SUM(E11:E13)</f>
        <v>4166042.9299999997</v>
      </c>
      <c r="F16" s="163">
        <f t="shared" ref="F16:BC16" si="1">SUM(F10,F14)-SUM(F11:F13)</f>
        <v>1223404.4400000002</v>
      </c>
      <c r="G16" s="163">
        <f t="shared" si="1"/>
        <v>1717008.13</v>
      </c>
      <c r="H16" s="163">
        <f t="shared" si="1"/>
        <v>2191246.6</v>
      </c>
      <c r="I16" s="163">
        <f t="shared" si="1"/>
        <v>17257750.880000003</v>
      </c>
      <c r="J16" s="163">
        <f t="shared" si="1"/>
        <v>15134411.550000001</v>
      </c>
      <c r="K16" s="163">
        <f t="shared" si="1"/>
        <v>11735419.250000004</v>
      </c>
      <c r="L16" s="163">
        <f t="shared" si="1"/>
        <v>114909930.44</v>
      </c>
      <c r="M16" s="163">
        <f t="shared" si="1"/>
        <v>8501982.7100000009</v>
      </c>
      <c r="N16" s="163">
        <f t="shared" si="1"/>
        <v>512400.14000000007</v>
      </c>
      <c r="O16" s="163">
        <f t="shared" si="1"/>
        <v>28485285.119999997</v>
      </c>
      <c r="P16" s="163">
        <f t="shared" si="1"/>
        <v>2048012.7400000002</v>
      </c>
      <c r="Q16" s="163">
        <f t="shared" si="1"/>
        <v>385240.59</v>
      </c>
      <c r="R16" s="163">
        <f t="shared" si="1"/>
        <v>1769077.2900000003</v>
      </c>
      <c r="S16" s="163">
        <f t="shared" si="1"/>
        <v>1417234.0799999998</v>
      </c>
      <c r="T16" s="163">
        <f t="shared" si="1"/>
        <v>3398547.7600000002</v>
      </c>
      <c r="U16" s="163">
        <f t="shared" si="1"/>
        <v>1071094.9700000002</v>
      </c>
      <c r="V16" s="163">
        <f t="shared" si="1"/>
        <v>2429444.3600000003</v>
      </c>
      <c r="W16" s="163">
        <f t="shared" si="1"/>
        <v>12738544.350000001</v>
      </c>
      <c r="X16" s="163">
        <f t="shared" si="1"/>
        <v>1541379.1099999999</v>
      </c>
      <c r="Y16" s="163">
        <f t="shared" si="1"/>
        <v>7336082.8700000001</v>
      </c>
      <c r="Z16" s="163">
        <f t="shared" si="1"/>
        <v>18768640.639999997</v>
      </c>
      <c r="AA16" s="163">
        <f t="shared" si="1"/>
        <v>706099.99</v>
      </c>
      <c r="AB16" s="163">
        <f t="shared" si="1"/>
        <v>2417184.7800000003</v>
      </c>
      <c r="AC16" s="163">
        <f t="shared" si="1"/>
        <v>4013430.939999999</v>
      </c>
      <c r="AD16" s="163">
        <f t="shared" si="1"/>
        <v>2619581.15</v>
      </c>
      <c r="AE16" s="163">
        <f t="shared" si="1"/>
        <v>3635118.7400000012</v>
      </c>
      <c r="AF16" s="163">
        <f t="shared" si="1"/>
        <v>11150461.41</v>
      </c>
      <c r="AG16" s="163">
        <f t="shared" si="1"/>
        <v>13602160.380000003</v>
      </c>
      <c r="AH16" s="163">
        <f t="shared" si="1"/>
        <v>1092057.03</v>
      </c>
      <c r="AI16" s="163">
        <f t="shared" si="1"/>
        <v>701599.10000000009</v>
      </c>
      <c r="AJ16" s="163">
        <f t="shared" si="1"/>
        <v>8534823.7899999991</v>
      </c>
      <c r="AK16" s="163">
        <f t="shared" si="1"/>
        <v>6047592.71</v>
      </c>
      <c r="AL16" s="163">
        <f t="shared" si="1"/>
        <v>5457984.1900000004</v>
      </c>
      <c r="AM16" s="163">
        <f t="shared" si="1"/>
        <v>656281.18999999994</v>
      </c>
      <c r="AN16" s="163">
        <f t="shared" si="1"/>
        <v>10565433.899999997</v>
      </c>
      <c r="AO16" s="163">
        <f t="shared" si="1"/>
        <v>3441970.74</v>
      </c>
      <c r="AP16" s="163">
        <f t="shared" si="1"/>
        <v>3076484.37</v>
      </c>
      <c r="AQ16" s="163">
        <f t="shared" si="1"/>
        <v>6841720.2300000004</v>
      </c>
      <c r="AR16" s="163">
        <f t="shared" si="1"/>
        <v>3165423.8000000003</v>
      </c>
      <c r="AS16" s="163">
        <f t="shared" si="1"/>
        <v>4844555.72</v>
      </c>
      <c r="AT16" s="163">
        <f t="shared" si="1"/>
        <v>1645193.4</v>
      </c>
      <c r="AU16" s="163">
        <f t="shared" si="1"/>
        <v>10474718.66</v>
      </c>
      <c r="AV16" s="163">
        <f t="shared" si="1"/>
        <v>3501796.46</v>
      </c>
      <c r="AW16" s="163">
        <f t="shared" si="1"/>
        <v>2014759.52</v>
      </c>
      <c r="AX16" s="163">
        <f t="shared" si="1"/>
        <v>1398937.07</v>
      </c>
      <c r="AY16" s="163">
        <f t="shared" si="1"/>
        <v>7433540.3700000001</v>
      </c>
      <c r="AZ16" s="163">
        <f t="shared" si="1"/>
        <v>1868067.9200000002</v>
      </c>
      <c r="BA16" s="163">
        <f t="shared" si="1"/>
        <v>5715641.0500000017</v>
      </c>
      <c r="BB16" s="163">
        <f t="shared" si="1"/>
        <v>42437275.769999996</v>
      </c>
      <c r="BC16" s="163">
        <f t="shared" si="1"/>
        <v>2633476.2800000003</v>
      </c>
      <c r="BD16" s="13">
        <f>SUM(E16:W16)</f>
        <v>231092078.33000001</v>
      </c>
      <c r="BE16" s="13">
        <f>SUM(X16:AI16)</f>
        <v>67583796.140000001</v>
      </c>
      <c r="BF16" s="13">
        <f>SUM(AJ16:BC16)</f>
        <v>131755677.13999999</v>
      </c>
    </row>
    <row r="17" spans="1:58" ht="15" thickBot="1" x14ac:dyDescent="0.25">
      <c r="B17" s="165"/>
      <c r="D17" s="13"/>
      <c r="BD17" s="13"/>
      <c r="BE17" s="13"/>
      <c r="BF17" s="13"/>
    </row>
    <row r="18" spans="1:58" ht="15.75" thickBot="1" x14ac:dyDescent="0.3">
      <c r="A18" s="7" t="s">
        <v>514</v>
      </c>
      <c r="B18" s="165"/>
      <c r="D18" s="164">
        <f>IF(D16&lt;&gt;0,D8/D16,"")*100</f>
        <v>0.96859580214452445</v>
      </c>
      <c r="E18" s="173">
        <f>IF(E16&lt;&gt;0,E8/E16,"")*100</f>
        <v>2.7617367831588808</v>
      </c>
      <c r="F18" s="163">
        <f t="shared" ref="F18:BF18" si="2">IF(F16&lt;&gt;0,F8/F16,"")*100</f>
        <v>2.0369224751219632</v>
      </c>
      <c r="G18" s="163">
        <f t="shared" si="2"/>
        <v>2.1714317683516149</v>
      </c>
      <c r="H18" s="163">
        <f t="shared" si="2"/>
        <v>2.4496366588771887</v>
      </c>
      <c r="I18" s="163">
        <f t="shared" si="2"/>
        <v>1.0310368438926032</v>
      </c>
      <c r="J18" s="163">
        <f t="shared" si="2"/>
        <v>1.5084344656928534</v>
      </c>
      <c r="K18" s="163">
        <f t="shared" si="2"/>
        <v>0.80223312004809688</v>
      </c>
      <c r="L18" s="163">
        <f t="shared" si="2"/>
        <v>1.2782728301858679</v>
      </c>
      <c r="M18" s="163">
        <f t="shared" si="2"/>
        <v>0.17057832854614213</v>
      </c>
      <c r="N18" s="163">
        <f t="shared" si="2"/>
        <v>1.0847869791760789</v>
      </c>
      <c r="O18" s="163">
        <f t="shared" si="2"/>
        <v>0.92096708491714085</v>
      </c>
      <c r="P18" s="163">
        <f t="shared" si="2"/>
        <v>1.4865234676225696</v>
      </c>
      <c r="Q18" s="163">
        <f t="shared" si="2"/>
        <v>1.7317775367336035</v>
      </c>
      <c r="R18" s="163">
        <f t="shared" si="2"/>
        <v>0.42424545509823369</v>
      </c>
      <c r="S18" s="163">
        <f t="shared" si="2"/>
        <v>4.0194990230548235</v>
      </c>
      <c r="T18" s="163">
        <f t="shared" si="2"/>
        <v>0.32545371673693929</v>
      </c>
      <c r="U18" s="163">
        <f t="shared" si="2"/>
        <v>1.0129073801924398</v>
      </c>
      <c r="V18" s="163">
        <f t="shared" si="2"/>
        <v>0.69755374023054384</v>
      </c>
      <c r="W18" s="163">
        <f t="shared" si="2"/>
        <v>0.84510998307275198</v>
      </c>
      <c r="X18" s="163">
        <f t="shared" si="2"/>
        <v>-0.33772612890802706</v>
      </c>
      <c r="Y18" s="163">
        <f t="shared" si="2"/>
        <v>1.0031189846687212</v>
      </c>
      <c r="Z18" s="163">
        <f t="shared" si="2"/>
        <v>-0.81861773021831385</v>
      </c>
      <c r="AA18" s="163">
        <f t="shared" si="2"/>
        <v>-1.8927914161279133E-2</v>
      </c>
      <c r="AB18" s="163">
        <f t="shared" si="2"/>
        <v>1.8427966437882335</v>
      </c>
      <c r="AC18" s="163">
        <f t="shared" si="2"/>
        <v>1.4285214036845992</v>
      </c>
      <c r="AD18" s="163">
        <f t="shared" si="2"/>
        <v>0.93650391399403665</v>
      </c>
      <c r="AE18" s="163">
        <f t="shared" si="2"/>
        <v>-0.13693555440777702</v>
      </c>
      <c r="AF18" s="163">
        <f t="shared" si="2"/>
        <v>-0.10013782918423643</v>
      </c>
      <c r="AG18" s="163">
        <f t="shared" si="2"/>
        <v>0.3348654090784951</v>
      </c>
      <c r="AH18" s="163">
        <f t="shared" si="2"/>
        <v>0.49312626099755974</v>
      </c>
      <c r="AI18" s="163">
        <f t="shared" si="2"/>
        <v>0.22930189049558358</v>
      </c>
      <c r="AJ18" s="163">
        <f t="shared" si="2"/>
        <v>1.1104016009216284</v>
      </c>
      <c r="AK18" s="163">
        <f t="shared" si="2"/>
        <v>6.5796097568217374E-2</v>
      </c>
      <c r="AL18" s="163">
        <f t="shared" si="2"/>
        <v>1.5529202183343074</v>
      </c>
      <c r="AM18" s="163">
        <f t="shared" si="2"/>
        <v>1.7046123171684995</v>
      </c>
      <c r="AN18" s="163">
        <f t="shared" si="2"/>
        <v>0.34000818461416921</v>
      </c>
      <c r="AO18" s="163">
        <f t="shared" si="2"/>
        <v>1.211337432810367</v>
      </c>
      <c r="AP18" s="163">
        <f t="shared" si="2"/>
        <v>1.643838678107765</v>
      </c>
      <c r="AQ18" s="163">
        <f t="shared" si="2"/>
        <v>0.77911487473962371</v>
      </c>
      <c r="AR18" s="163">
        <f t="shared" si="2"/>
        <v>0.87055704831687919</v>
      </c>
      <c r="AS18" s="163">
        <f t="shared" si="2"/>
        <v>1.0466875175088293</v>
      </c>
      <c r="AT18" s="163">
        <f t="shared" si="2"/>
        <v>0.74334907981031295</v>
      </c>
      <c r="AU18" s="163">
        <f t="shared" si="2"/>
        <v>1.2196666483069054</v>
      </c>
      <c r="AV18" s="163">
        <f t="shared" si="2"/>
        <v>1.1559032760002277</v>
      </c>
      <c r="AW18" s="163">
        <f t="shared" si="2"/>
        <v>-0.38679256371003523</v>
      </c>
      <c r="AX18" s="163">
        <f t="shared" si="2"/>
        <v>0.27999401002362456</v>
      </c>
      <c r="AY18" s="163">
        <f t="shared" si="2"/>
        <v>3.0354836157296603</v>
      </c>
      <c r="AZ18" s="163">
        <f t="shared" si="2"/>
        <v>1.1468817472118464</v>
      </c>
      <c r="BA18" s="163">
        <f t="shared" si="2"/>
        <v>1.1636713960545157</v>
      </c>
      <c r="BB18" s="163">
        <f t="shared" si="2"/>
        <v>1.0347886192789892</v>
      </c>
      <c r="BC18" s="163">
        <f t="shared" si="2"/>
        <v>-0.86197738602756657</v>
      </c>
      <c r="BD18" s="163">
        <f t="shared" si="2"/>
        <v>1.181636994973319</v>
      </c>
      <c r="BE18" s="163">
        <f t="shared" si="2"/>
        <v>0.11454707255513447</v>
      </c>
      <c r="BF18" s="163">
        <f t="shared" si="2"/>
        <v>1.0330159728554071</v>
      </c>
    </row>
    <row r="19" spans="1:58" x14ac:dyDescent="0.2">
      <c r="A19" s="169" t="s">
        <v>515</v>
      </c>
      <c r="B19" s="165"/>
      <c r="D19" s="13"/>
      <c r="BD19" s="13"/>
      <c r="BE19" s="13"/>
      <c r="BF19" s="13"/>
    </row>
    <row r="20" spans="1:58" x14ac:dyDescent="0.2">
      <c r="A20" s="169"/>
      <c r="B20" s="165"/>
      <c r="D20" s="13"/>
      <c r="BD20" s="13"/>
      <c r="BE20" s="13"/>
      <c r="BF20" s="13"/>
    </row>
    <row r="21" spans="1:58" x14ac:dyDescent="0.2">
      <c r="B21" s="165"/>
      <c r="D21" s="13"/>
      <c r="BD21" s="13"/>
      <c r="BE21" s="13"/>
      <c r="BF21" s="13"/>
    </row>
    <row r="22" spans="1:58" ht="15" x14ac:dyDescent="0.25">
      <c r="A22" s="7" t="s">
        <v>516</v>
      </c>
      <c r="B22" s="165"/>
      <c r="D22" s="13"/>
      <c r="BD22" s="13"/>
      <c r="BE22" s="13"/>
      <c r="BF22" s="13"/>
    </row>
    <row r="23" spans="1:58" x14ac:dyDescent="0.2">
      <c r="B23" s="165"/>
      <c r="D23" s="13"/>
      <c r="BD23" s="13"/>
      <c r="BE23" s="13"/>
      <c r="BF23" s="13"/>
    </row>
    <row r="24" spans="1:58" x14ac:dyDescent="0.2">
      <c r="A24" s="155" t="s">
        <v>249</v>
      </c>
      <c r="B24" s="156" t="s">
        <v>221</v>
      </c>
      <c r="C24" s="170">
        <v>200</v>
      </c>
      <c r="D24" s="157">
        <f>'Base de données indicateurs1'!BD10</f>
        <v>37832584.270000003</v>
      </c>
      <c r="E24" s="13">
        <f>'Base de données indicateurs1'!E10</f>
        <v>388186.60000000003</v>
      </c>
      <c r="F24" s="13">
        <f>'Base de données indicateurs1'!F10</f>
        <v>108982.65</v>
      </c>
      <c r="G24" s="13">
        <f>'Base de données indicateurs1'!G10</f>
        <v>64397.15</v>
      </c>
      <c r="H24" s="13">
        <f>'Base de données indicateurs1'!H10</f>
        <v>285138.56</v>
      </c>
      <c r="I24" s="13">
        <f>'Base de données indicateurs1'!I10</f>
        <v>1842482.12</v>
      </c>
      <c r="J24" s="13">
        <f>'Base de données indicateurs1'!J10</f>
        <v>2272901.04</v>
      </c>
      <c r="K24" s="13">
        <f>'Base de données indicateurs1'!K10</f>
        <v>231765.06</v>
      </c>
      <c r="L24" s="13">
        <f>'Base de données indicateurs1'!L10</f>
        <v>11396893.23</v>
      </c>
      <c r="M24" s="13">
        <f>'Base de données indicateurs1'!M10</f>
        <v>669934.87</v>
      </c>
      <c r="N24" s="13">
        <f>'Base de données indicateurs1'!N10</f>
        <v>0</v>
      </c>
      <c r="O24" s="13">
        <f>'Base de données indicateurs1'!O10</f>
        <v>2047572.42</v>
      </c>
      <c r="P24" s="13">
        <f>'Base de données indicateurs1'!P10</f>
        <v>41629.83</v>
      </c>
      <c r="Q24" s="13">
        <f>'Base de données indicateurs1'!Q10</f>
        <v>20260</v>
      </c>
      <c r="R24" s="13">
        <f>'Base de données indicateurs1'!R10</f>
        <v>607761.11</v>
      </c>
      <c r="S24" s="13">
        <f>'Base de données indicateurs1'!S10</f>
        <v>121241.75</v>
      </c>
      <c r="T24" s="13">
        <f>'Base de données indicateurs1'!T10</f>
        <v>225136.55</v>
      </c>
      <c r="U24" s="13">
        <f>'Base de données indicateurs1'!U10</f>
        <v>389542.71</v>
      </c>
      <c r="V24" s="13">
        <f>'Base de données indicateurs1'!V10</f>
        <v>71080.800000000003</v>
      </c>
      <c r="W24" s="13">
        <f>'Base de données indicateurs1'!W10</f>
        <v>1422273</v>
      </c>
      <c r="X24" s="13">
        <f>'Base de données indicateurs1'!X10</f>
        <v>0</v>
      </c>
      <c r="Y24" s="13">
        <f>'Base de données indicateurs1'!Y10</f>
        <v>423662.73000000004</v>
      </c>
      <c r="Z24" s="13">
        <f>'Base de données indicateurs1'!Z10</f>
        <v>3004934.01</v>
      </c>
      <c r="AA24" s="13">
        <f>'Base de données indicateurs1'!AA10</f>
        <v>58746.05</v>
      </c>
      <c r="AB24" s="13">
        <f>'Base de données indicateurs1'!AB10</f>
        <v>267728.61</v>
      </c>
      <c r="AC24" s="13">
        <f>'Base de données indicateurs1'!AC10</f>
        <v>139644.75</v>
      </c>
      <c r="AD24" s="13">
        <f>'Base de données indicateurs1'!AD10</f>
        <v>219249.65000000002</v>
      </c>
      <c r="AE24" s="13">
        <f>'Base de données indicateurs1'!AE10</f>
        <v>131021.76999999999</v>
      </c>
      <c r="AF24" s="13">
        <f>'Base de données indicateurs1'!AF10</f>
        <v>1249725.98</v>
      </c>
      <c r="AG24" s="13">
        <f>'Base de données indicateurs1'!AG10</f>
        <v>569937.07000000007</v>
      </c>
      <c r="AH24" s="13">
        <f>'Base de données indicateurs1'!AH10</f>
        <v>586634.94999999995</v>
      </c>
      <c r="AI24" s="13">
        <f>'Base de données indicateurs1'!AI10</f>
        <v>63246.01</v>
      </c>
      <c r="AJ24" s="13">
        <f>'Base de données indicateurs1'!AJ10</f>
        <v>535592.78</v>
      </c>
      <c r="AK24" s="13">
        <f>'Base de données indicateurs1'!AK10</f>
        <v>120775.84</v>
      </c>
      <c r="AL24" s="13">
        <f>'Base de données indicateurs1'!AL10</f>
        <v>500314.88</v>
      </c>
      <c r="AM24" s="13">
        <f>'Base de données indicateurs1'!AM10</f>
        <v>37943.22</v>
      </c>
      <c r="AN24" s="13">
        <f>'Base de données indicateurs1'!AN10</f>
        <v>692746.51</v>
      </c>
      <c r="AO24" s="13">
        <f>'Base de données indicateurs1'!AO10</f>
        <v>283729.33999999997</v>
      </c>
      <c r="AP24" s="13">
        <f>'Base de données indicateurs1'!AP10</f>
        <v>237126.82</v>
      </c>
      <c r="AQ24" s="13">
        <f>'Base de données indicateurs1'!AQ10</f>
        <v>526552.65</v>
      </c>
      <c r="AR24" s="13">
        <f>'Base de données indicateurs1'!AR10</f>
        <v>678578.01</v>
      </c>
      <c r="AS24" s="13">
        <f>'Base de données indicateurs1'!AS10</f>
        <v>240442.31</v>
      </c>
      <c r="AT24" s="13">
        <f>'Base de données indicateurs1'!AT10</f>
        <v>41249.660000000003</v>
      </c>
      <c r="AU24" s="13">
        <f>'Base de données indicateurs1'!AU10</f>
        <v>429144.89999999997</v>
      </c>
      <c r="AV24" s="13">
        <f>'Base de données indicateurs1'!AV10</f>
        <v>162447.82</v>
      </c>
      <c r="AW24" s="13">
        <f>'Base de données indicateurs1'!AW10</f>
        <v>116119.43</v>
      </c>
      <c r="AX24" s="13">
        <f>'Base de données indicateurs1'!AX10</f>
        <v>202576.04</v>
      </c>
      <c r="AY24" s="13">
        <f>'Base de données indicateurs1'!AY10</f>
        <v>946254.85</v>
      </c>
      <c r="AZ24" s="13">
        <f>'Base de données indicateurs1'!AZ10</f>
        <v>73512.92</v>
      </c>
      <c r="BA24" s="13">
        <f>'Base de données indicateurs1'!BA10</f>
        <v>356834.51999999996</v>
      </c>
      <c r="BB24" s="13">
        <f>'Base de données indicateurs1'!BB10</f>
        <v>2372740.48</v>
      </c>
      <c r="BC24" s="13">
        <f>'Base de données indicateurs1'!BC10</f>
        <v>356190.26</v>
      </c>
      <c r="BD24" s="13">
        <f>SUM(E24:W24)</f>
        <v>22207179.450000003</v>
      </c>
      <c r="BE24" s="13">
        <f>SUM(X24:AI24)</f>
        <v>6714531.5799999991</v>
      </c>
      <c r="BF24" s="13">
        <f>SUM(AJ24:BC24)</f>
        <v>8910873.2399999984</v>
      </c>
    </row>
    <row r="25" spans="1:58" x14ac:dyDescent="0.2">
      <c r="A25" s="158" t="s">
        <v>250</v>
      </c>
      <c r="B25" s="159" t="s">
        <v>221</v>
      </c>
      <c r="C25" s="158">
        <v>201</v>
      </c>
      <c r="D25" s="160">
        <f>'Base de données indicateurs1'!BD11</f>
        <v>106185048.03000003</v>
      </c>
      <c r="E25" s="13">
        <f>'Base de données indicateurs1'!E11</f>
        <v>3247562.34</v>
      </c>
      <c r="F25" s="13">
        <f>'Base de données indicateurs1'!F11</f>
        <v>308700</v>
      </c>
      <c r="G25" s="13">
        <f>'Base de données indicateurs1'!G11</f>
        <v>128800</v>
      </c>
      <c r="H25" s="13">
        <f>'Base de données indicateurs1'!H11</f>
        <v>324783.78999999998</v>
      </c>
      <c r="I25" s="13">
        <f>'Base de données indicateurs1'!I11</f>
        <v>9159616.7400000002</v>
      </c>
      <c r="J25" s="13">
        <f>'Base de données indicateurs1'!J11</f>
        <v>9781550</v>
      </c>
      <c r="K25" s="13">
        <f>'Base de données indicateurs1'!K11</f>
        <v>125000</v>
      </c>
      <c r="L25" s="13">
        <f>'Base de données indicateurs1'!L11</f>
        <v>29206108</v>
      </c>
      <c r="M25" s="13">
        <f>'Base de données indicateurs1'!M11</f>
        <v>3179142.7</v>
      </c>
      <c r="N25" s="13">
        <f>'Base de données indicateurs1'!N11</f>
        <v>0</v>
      </c>
      <c r="O25" s="13">
        <f>'Base de données indicateurs1'!O11</f>
        <v>16659160</v>
      </c>
      <c r="P25" s="13">
        <f>'Base de données indicateurs1'!P11</f>
        <v>264365.36</v>
      </c>
      <c r="Q25" s="13">
        <f>'Base de données indicateurs1'!Q11</f>
        <v>112164.19</v>
      </c>
      <c r="R25" s="13">
        <f>'Base de données indicateurs1'!R11</f>
        <v>367561.58999999997</v>
      </c>
      <c r="S25" s="13">
        <f>'Base de données indicateurs1'!S11</f>
        <v>2222074.23</v>
      </c>
      <c r="T25" s="13">
        <f>'Base de données indicateurs1'!T11</f>
        <v>352571.55</v>
      </c>
      <c r="U25" s="13">
        <f>'Base de données indicateurs1'!U11</f>
        <v>158331.28999999998</v>
      </c>
      <c r="V25" s="13">
        <f>'Base de données indicateurs1'!V11</f>
        <v>142193.9</v>
      </c>
      <c r="W25" s="13">
        <f>'Base de données indicateurs1'!W11</f>
        <v>2589284.9500000002</v>
      </c>
      <c r="X25" s="13">
        <f>'Base de données indicateurs1'!X11</f>
        <v>67120</v>
      </c>
      <c r="Y25" s="13">
        <f>'Base de données indicateurs1'!Y11</f>
        <v>791364.46</v>
      </c>
      <c r="Z25" s="13">
        <f>'Base de données indicateurs1'!Z11</f>
        <v>0</v>
      </c>
      <c r="AA25" s="13">
        <f>'Base de données indicateurs1'!AA11</f>
        <v>412500</v>
      </c>
      <c r="AB25" s="13">
        <f>'Base de données indicateurs1'!AB11</f>
        <v>625199.16999999993</v>
      </c>
      <c r="AC25" s="13">
        <f>'Base de données indicateurs1'!AC11</f>
        <v>1064787.7</v>
      </c>
      <c r="AD25" s="13">
        <f>'Base de données indicateurs1'!AD11</f>
        <v>227038.08000000002</v>
      </c>
      <c r="AE25" s="13">
        <f>'Base de données indicateurs1'!AE11</f>
        <v>131498.95000000001</v>
      </c>
      <c r="AF25" s="13">
        <f>'Base de données indicateurs1'!AF11</f>
        <v>67194.09</v>
      </c>
      <c r="AG25" s="13">
        <f>'Base de données indicateurs1'!AG11</f>
        <v>3108720</v>
      </c>
      <c r="AH25" s="13">
        <f>'Base de données indicateurs1'!AH11</f>
        <v>112241.81</v>
      </c>
      <c r="AI25" s="13">
        <f>'Base de données indicateurs1'!AI11</f>
        <v>36020</v>
      </c>
      <c r="AJ25" s="13">
        <f>'Base de données indicateurs1'!AJ11</f>
        <v>510000</v>
      </c>
      <c r="AK25" s="13">
        <f>'Base de données indicateurs1'!AK11</f>
        <v>462372.1</v>
      </c>
      <c r="AL25" s="13">
        <f>'Base de données indicateurs1'!AL11</f>
        <v>1284716.3500000001</v>
      </c>
      <c r="AM25" s="13">
        <f>'Base de données indicateurs1'!AM11</f>
        <v>0</v>
      </c>
      <c r="AN25" s="13">
        <f>'Base de données indicateurs1'!AN11</f>
        <v>0</v>
      </c>
      <c r="AO25" s="13">
        <f>'Base de données indicateurs1'!AO11</f>
        <v>103650</v>
      </c>
      <c r="AP25" s="13">
        <f>'Base de données indicateurs1'!AP11</f>
        <v>701481.45</v>
      </c>
      <c r="AQ25" s="13">
        <f>'Base de données indicateurs1'!AQ11</f>
        <v>181840</v>
      </c>
      <c r="AR25" s="13">
        <f>'Base de données indicateurs1'!AR11</f>
        <v>270792.87</v>
      </c>
      <c r="AS25" s="13">
        <f>'Base de données indicateurs1'!AS11</f>
        <v>301720</v>
      </c>
      <c r="AT25" s="13">
        <f>'Base de données indicateurs1'!AT11</f>
        <v>19300</v>
      </c>
      <c r="AU25" s="13">
        <f>'Base de données indicateurs1'!AU11</f>
        <v>83752.37</v>
      </c>
      <c r="AV25" s="13">
        <f>'Base de données indicateurs1'!AV11</f>
        <v>147300</v>
      </c>
      <c r="AW25" s="13">
        <f>'Base de données indicateurs1'!AW11</f>
        <v>0</v>
      </c>
      <c r="AX25" s="13">
        <f>'Base de données indicateurs1'!AX11</f>
        <v>55272.89</v>
      </c>
      <c r="AY25" s="13">
        <f>'Base de données indicateurs1'!AY11</f>
        <v>1900488.77</v>
      </c>
      <c r="AZ25" s="13">
        <f>'Base de données indicateurs1'!AZ11</f>
        <v>1323284.04</v>
      </c>
      <c r="BA25" s="13">
        <f>'Base de données indicateurs1'!BA11</f>
        <v>2970150.44</v>
      </c>
      <c r="BB25" s="13">
        <f>'Base de données indicateurs1'!BB11</f>
        <v>10463949.6</v>
      </c>
      <c r="BC25" s="13">
        <f>'Base de données indicateurs1'!BC11</f>
        <v>432322.26</v>
      </c>
      <c r="BD25" s="13">
        <f>SUM(E25:W25)</f>
        <v>78328970.630000025</v>
      </c>
      <c r="BE25" s="13">
        <f>SUM(X25:AI25)</f>
        <v>6643684.2599999998</v>
      </c>
      <c r="BF25" s="13">
        <f>SUM(AJ25:BC25)</f>
        <v>21212393.140000004</v>
      </c>
    </row>
    <row r="26" spans="1:58" x14ac:dyDescent="0.2">
      <c r="A26" s="158" t="s">
        <v>265</v>
      </c>
      <c r="B26" s="159" t="s">
        <v>222</v>
      </c>
      <c r="C26" s="158">
        <v>2016</v>
      </c>
      <c r="D26" s="160">
        <f>'Base de données indicateurs1'!BD12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SUM(E26:W26)</f>
        <v>0</v>
      </c>
      <c r="BE26" s="13">
        <f>SUM(X26:AI26)</f>
        <v>0</v>
      </c>
      <c r="BF26" s="13">
        <f>SUM(AJ26:BC26)</f>
        <v>0</v>
      </c>
    </row>
    <row r="27" spans="1:58" x14ac:dyDescent="0.2">
      <c r="A27" s="158" t="s">
        <v>253</v>
      </c>
      <c r="B27" s="159" t="s">
        <v>221</v>
      </c>
      <c r="C27" s="158">
        <v>206</v>
      </c>
      <c r="D27" s="160">
        <f>'Base de données indicateurs1'!BD13</f>
        <v>471696034.06999993</v>
      </c>
      <c r="E27" s="13">
        <f>'Base de données indicateurs1'!E13</f>
        <v>7510551.21</v>
      </c>
      <c r="F27" s="13">
        <f>'Base de données indicateurs1'!F13</f>
        <v>1851799.6</v>
      </c>
      <c r="G27" s="13">
        <f>'Base de données indicateurs1'!G13</f>
        <v>4920200</v>
      </c>
      <c r="H27" s="13">
        <f>'Base de données indicateurs1'!H13</f>
        <v>3492259.81</v>
      </c>
      <c r="I27" s="13">
        <f>'Base de données indicateurs1'!I13</f>
        <v>19132837.5</v>
      </c>
      <c r="J27" s="13">
        <f>'Base de données indicateurs1'!J13</f>
        <v>10914450</v>
      </c>
      <c r="K27" s="13">
        <f>'Base de données indicateurs1'!K13</f>
        <v>9621376.1999999993</v>
      </c>
      <c r="L27" s="13">
        <f>'Base de données indicateurs1'!L13</f>
        <v>131323275.34999999</v>
      </c>
      <c r="M27" s="13">
        <f>'Base de données indicateurs1'!M13</f>
        <v>3879800</v>
      </c>
      <c r="N27" s="13">
        <f>'Base de données indicateurs1'!N13</f>
        <v>714480.9</v>
      </c>
      <c r="O27" s="13">
        <f>'Base de données indicateurs1'!O13</f>
        <v>27794830.149999999</v>
      </c>
      <c r="P27" s="13">
        <f>'Base de données indicateurs1'!P13</f>
        <v>2331870.35</v>
      </c>
      <c r="Q27" s="13">
        <f>'Base de données indicateurs1'!Q13</f>
        <v>339150</v>
      </c>
      <c r="R27" s="13">
        <f>'Base de données indicateurs1'!R13</f>
        <v>2494299.85</v>
      </c>
      <c r="S27" s="13">
        <f>'Base de données indicateurs1'!S13</f>
        <v>1470500</v>
      </c>
      <c r="T27" s="13">
        <f>'Base de données indicateurs1'!T13</f>
        <v>4248500</v>
      </c>
      <c r="U27" s="13">
        <f>'Base de données indicateurs1'!U13</f>
        <v>717950</v>
      </c>
      <c r="V27" s="13">
        <f>'Base de données indicateurs1'!V13</f>
        <v>3081197.16</v>
      </c>
      <c r="W27" s="13">
        <f>'Base de données indicateurs1'!W13</f>
        <v>11585480</v>
      </c>
      <c r="X27" s="13">
        <f>'Base de données indicateurs1'!X13</f>
        <v>387206.2</v>
      </c>
      <c r="Y27" s="13">
        <f>'Base de données indicateurs1'!Y13</f>
        <v>6855600</v>
      </c>
      <c r="Z27" s="13">
        <f>'Base de données indicateurs1'!Z13</f>
        <v>566000</v>
      </c>
      <c r="AA27" s="13">
        <f>'Base de données indicateurs1'!AA13</f>
        <v>750000</v>
      </c>
      <c r="AB27" s="13">
        <f>'Base de données indicateurs1'!AB13</f>
        <v>3420125</v>
      </c>
      <c r="AC27" s="13">
        <f>'Base de données indicateurs1'!AC13</f>
        <v>5632900</v>
      </c>
      <c r="AD27" s="13">
        <f>'Base de données indicateurs1'!AD13</f>
        <v>3355700</v>
      </c>
      <c r="AE27" s="13">
        <f>'Base de données indicateurs1'!AE13</f>
        <v>120000</v>
      </c>
      <c r="AF27" s="13">
        <f>'Base de données indicateurs1'!AF13</f>
        <v>3841400</v>
      </c>
      <c r="AG27" s="13">
        <f>'Base de données indicateurs1'!AG13</f>
        <v>11860595.15</v>
      </c>
      <c r="AH27" s="13">
        <f>'Base de données indicateurs1'!AH13</f>
        <v>923842.26</v>
      </c>
      <c r="AI27" s="13">
        <f>'Base de données indicateurs1'!AI13</f>
        <v>626830</v>
      </c>
      <c r="AJ27" s="13">
        <f>'Base de données indicateurs1'!AJ13</f>
        <v>15858820</v>
      </c>
      <c r="AK27" s="13">
        <f>'Base de données indicateurs1'!AK13</f>
        <v>7260650</v>
      </c>
      <c r="AL27" s="13">
        <f>'Base de données indicateurs1'!AL13</f>
        <v>10478627.85</v>
      </c>
      <c r="AM27" s="13">
        <f>'Base de données indicateurs1'!AM13</f>
        <v>1363570</v>
      </c>
      <c r="AN27" s="13">
        <f>'Base de données indicateurs1'!AN13</f>
        <v>7923800</v>
      </c>
      <c r="AO27" s="13">
        <f>'Base de données indicateurs1'!AO13</f>
        <v>4552450</v>
      </c>
      <c r="AP27" s="13">
        <f>'Base de données indicateurs1'!AP13</f>
        <v>4079235</v>
      </c>
      <c r="AQ27" s="13">
        <f>'Base de données indicateurs1'!AQ13</f>
        <v>9438240.8800000008</v>
      </c>
      <c r="AR27" s="13">
        <f>'Base de données indicateurs1'!AR13</f>
        <v>4689018.5999999996</v>
      </c>
      <c r="AS27" s="13">
        <f>'Base de données indicateurs1'!AS13</f>
        <v>8848577.5</v>
      </c>
      <c r="AT27" s="13">
        <f>'Base de données indicateurs1'!AT13</f>
        <v>1568065</v>
      </c>
      <c r="AU27" s="13">
        <f>'Base de données indicateurs1'!AU13</f>
        <v>14611300</v>
      </c>
      <c r="AV27" s="13">
        <f>'Base de données indicateurs1'!AV13</f>
        <v>5418942</v>
      </c>
      <c r="AW27" s="13">
        <f>'Base de données indicateurs1'!AW13</f>
        <v>656850</v>
      </c>
      <c r="AX27" s="13">
        <f>'Base de données indicateurs1'!AX13</f>
        <v>1689820</v>
      </c>
      <c r="AY27" s="13">
        <f>'Base de données indicateurs1'!AY13</f>
        <v>16384012</v>
      </c>
      <c r="AZ27" s="13">
        <f>'Base de données indicateurs1'!AZ13</f>
        <v>1762350</v>
      </c>
      <c r="BA27" s="13">
        <f>'Base de données indicateurs1'!BA13</f>
        <v>7168940</v>
      </c>
      <c r="BB27" s="13">
        <f>'Base de données indicateurs1'!BB13</f>
        <v>58435785.399999999</v>
      </c>
      <c r="BC27" s="13">
        <f>'Base de données indicateurs1'!BC13</f>
        <v>3741973.15</v>
      </c>
      <c r="BD27" s="13">
        <f>SUM(E27:W27)</f>
        <v>247424808.08000001</v>
      </c>
      <c r="BE27" s="13">
        <f>SUM(X27:AI27)</f>
        <v>38340198.609999999</v>
      </c>
      <c r="BF27" s="13">
        <f>SUM(AJ27:BC27)</f>
        <v>185931027.38000003</v>
      </c>
    </row>
    <row r="28" spans="1:58" ht="15" thickBot="1" x14ac:dyDescent="0.25">
      <c r="B28" s="165"/>
      <c r="D28" s="13"/>
      <c r="BD28" s="13"/>
      <c r="BE28" s="13"/>
      <c r="BF28" s="13"/>
    </row>
    <row r="29" spans="1:58" ht="15.75" thickBot="1" x14ac:dyDescent="0.3">
      <c r="A29" s="7" t="s">
        <v>517</v>
      </c>
      <c r="B29" s="108"/>
      <c r="C29" s="7"/>
      <c r="D29" s="164">
        <f>SUM(D24:D25,D27)-D26</f>
        <v>615713666.37</v>
      </c>
      <c r="E29" s="173">
        <f>SUM(E24:E25,E27)-E26</f>
        <v>11146300.15</v>
      </c>
      <c r="F29" s="163">
        <f t="shared" ref="F29:BC29" si="3">SUM(F24:F25,F27)-F26</f>
        <v>2269482.25</v>
      </c>
      <c r="G29" s="163">
        <f t="shared" si="3"/>
        <v>5113397.1500000004</v>
      </c>
      <c r="H29" s="163">
        <f t="shared" si="3"/>
        <v>4102182.16</v>
      </c>
      <c r="I29" s="163">
        <f t="shared" si="3"/>
        <v>30134936.359999999</v>
      </c>
      <c r="J29" s="163">
        <f t="shared" si="3"/>
        <v>22968901.039999999</v>
      </c>
      <c r="K29" s="163">
        <f t="shared" si="3"/>
        <v>9978141.2599999998</v>
      </c>
      <c r="L29" s="163">
        <f t="shared" si="3"/>
        <v>171926276.57999998</v>
      </c>
      <c r="M29" s="163">
        <f t="shared" si="3"/>
        <v>7728877.5700000003</v>
      </c>
      <c r="N29" s="163">
        <f t="shared" si="3"/>
        <v>714480.9</v>
      </c>
      <c r="O29" s="163">
        <f t="shared" si="3"/>
        <v>46501562.57</v>
      </c>
      <c r="P29" s="163">
        <f t="shared" si="3"/>
        <v>2637865.54</v>
      </c>
      <c r="Q29" s="163">
        <f t="shared" si="3"/>
        <v>471574.19</v>
      </c>
      <c r="R29" s="163">
        <f t="shared" si="3"/>
        <v>3469622.55</v>
      </c>
      <c r="S29" s="163">
        <f t="shared" si="3"/>
        <v>3813815.98</v>
      </c>
      <c r="T29" s="163">
        <f t="shared" si="3"/>
        <v>4826208.0999999996</v>
      </c>
      <c r="U29" s="163">
        <f t="shared" si="3"/>
        <v>1265824</v>
      </c>
      <c r="V29" s="163">
        <f t="shared" si="3"/>
        <v>3294471.8600000003</v>
      </c>
      <c r="W29" s="163">
        <f t="shared" si="3"/>
        <v>15597037.949999999</v>
      </c>
      <c r="X29" s="163">
        <f t="shared" si="3"/>
        <v>454326.2</v>
      </c>
      <c r="Y29" s="163">
        <f t="shared" si="3"/>
        <v>8070627.1899999995</v>
      </c>
      <c r="Z29" s="163">
        <f t="shared" si="3"/>
        <v>3570934.01</v>
      </c>
      <c r="AA29" s="163">
        <f t="shared" si="3"/>
        <v>1221246.05</v>
      </c>
      <c r="AB29" s="163">
        <f t="shared" si="3"/>
        <v>4313052.78</v>
      </c>
      <c r="AC29" s="163">
        <f t="shared" si="3"/>
        <v>6837332.4500000002</v>
      </c>
      <c r="AD29" s="163">
        <f t="shared" si="3"/>
        <v>3801987.73</v>
      </c>
      <c r="AE29" s="163">
        <f t="shared" si="3"/>
        <v>382520.72</v>
      </c>
      <c r="AF29" s="163">
        <f t="shared" si="3"/>
        <v>5158320.07</v>
      </c>
      <c r="AG29" s="163">
        <f t="shared" si="3"/>
        <v>15539252.220000001</v>
      </c>
      <c r="AH29" s="163">
        <f t="shared" si="3"/>
        <v>1622719.02</v>
      </c>
      <c r="AI29" s="163">
        <f t="shared" si="3"/>
        <v>726096.01</v>
      </c>
      <c r="AJ29" s="163">
        <f t="shared" si="3"/>
        <v>16904412.780000001</v>
      </c>
      <c r="AK29" s="163">
        <f t="shared" si="3"/>
        <v>7843797.9399999995</v>
      </c>
      <c r="AL29" s="163">
        <f t="shared" si="3"/>
        <v>12263659.08</v>
      </c>
      <c r="AM29" s="163">
        <f t="shared" si="3"/>
        <v>1401513.22</v>
      </c>
      <c r="AN29" s="163">
        <f t="shared" si="3"/>
        <v>8616546.5099999998</v>
      </c>
      <c r="AO29" s="163">
        <f t="shared" si="3"/>
        <v>4939829.34</v>
      </c>
      <c r="AP29" s="163">
        <f t="shared" si="3"/>
        <v>5017843.2699999996</v>
      </c>
      <c r="AQ29" s="163">
        <f t="shared" si="3"/>
        <v>10146633.530000001</v>
      </c>
      <c r="AR29" s="163">
        <f t="shared" si="3"/>
        <v>5638389.4799999995</v>
      </c>
      <c r="AS29" s="163">
        <f t="shared" si="3"/>
        <v>9390739.8100000005</v>
      </c>
      <c r="AT29" s="163">
        <f t="shared" si="3"/>
        <v>1628614.66</v>
      </c>
      <c r="AU29" s="163">
        <f t="shared" si="3"/>
        <v>15124197.27</v>
      </c>
      <c r="AV29" s="163">
        <f t="shared" si="3"/>
        <v>5728689.8200000003</v>
      </c>
      <c r="AW29" s="163">
        <f t="shared" si="3"/>
        <v>772969.42999999993</v>
      </c>
      <c r="AX29" s="163">
        <f t="shared" si="3"/>
        <v>1947668.93</v>
      </c>
      <c r="AY29" s="163">
        <f t="shared" si="3"/>
        <v>19230755.620000001</v>
      </c>
      <c r="AZ29" s="163">
        <f t="shared" si="3"/>
        <v>3159146.96</v>
      </c>
      <c r="BA29" s="163">
        <f t="shared" si="3"/>
        <v>10495924.960000001</v>
      </c>
      <c r="BB29" s="163">
        <f t="shared" si="3"/>
        <v>71272475.480000004</v>
      </c>
      <c r="BC29" s="163">
        <f t="shared" si="3"/>
        <v>4530485.67</v>
      </c>
      <c r="BD29" s="13">
        <f>SUM(E29:W29)</f>
        <v>347960958.16000009</v>
      </c>
      <c r="BE29" s="13">
        <f>SUM(X29:AI29)</f>
        <v>51698414.450000003</v>
      </c>
      <c r="BF29" s="13">
        <f>SUM(AJ29:BC29)</f>
        <v>216054293.75999996</v>
      </c>
    </row>
    <row r="30" spans="1:58" ht="15" thickBot="1" x14ac:dyDescent="0.25">
      <c r="B30" s="154"/>
      <c r="D30" s="13"/>
      <c r="E30" s="161"/>
      <c r="BD30" s="13"/>
      <c r="BE30" s="13"/>
      <c r="BF30" s="13"/>
    </row>
    <row r="31" spans="1:58" ht="15.75" thickBot="1" x14ac:dyDescent="0.3">
      <c r="A31" s="7" t="s">
        <v>513</v>
      </c>
      <c r="B31" s="174"/>
      <c r="C31" s="7"/>
      <c r="D31" s="164">
        <f>D16</f>
        <v>430431551.60999995</v>
      </c>
      <c r="E31" s="173">
        <f>E16</f>
        <v>4166042.9299999997</v>
      </c>
      <c r="F31" s="163">
        <f t="shared" ref="F31:BC31" si="4">F16</f>
        <v>1223404.4400000002</v>
      </c>
      <c r="G31" s="163">
        <f t="shared" si="4"/>
        <v>1717008.13</v>
      </c>
      <c r="H31" s="163">
        <f t="shared" si="4"/>
        <v>2191246.6</v>
      </c>
      <c r="I31" s="163">
        <f t="shared" si="4"/>
        <v>17257750.880000003</v>
      </c>
      <c r="J31" s="163">
        <f t="shared" si="4"/>
        <v>15134411.550000001</v>
      </c>
      <c r="K31" s="163">
        <f t="shared" si="4"/>
        <v>11735419.250000004</v>
      </c>
      <c r="L31" s="163">
        <f t="shared" si="4"/>
        <v>114909930.44</v>
      </c>
      <c r="M31" s="163">
        <f t="shared" si="4"/>
        <v>8501982.7100000009</v>
      </c>
      <c r="N31" s="163">
        <f t="shared" si="4"/>
        <v>512400.14000000007</v>
      </c>
      <c r="O31" s="163">
        <f t="shared" si="4"/>
        <v>28485285.119999997</v>
      </c>
      <c r="P31" s="163">
        <f t="shared" si="4"/>
        <v>2048012.7400000002</v>
      </c>
      <c r="Q31" s="163">
        <f t="shared" si="4"/>
        <v>385240.59</v>
      </c>
      <c r="R31" s="163">
        <f t="shared" si="4"/>
        <v>1769077.2900000003</v>
      </c>
      <c r="S31" s="163">
        <f t="shared" si="4"/>
        <v>1417234.0799999998</v>
      </c>
      <c r="T31" s="163">
        <f t="shared" si="4"/>
        <v>3398547.7600000002</v>
      </c>
      <c r="U31" s="163">
        <f t="shared" si="4"/>
        <v>1071094.9700000002</v>
      </c>
      <c r="V31" s="163">
        <f t="shared" si="4"/>
        <v>2429444.3600000003</v>
      </c>
      <c r="W31" s="163">
        <f t="shared" si="4"/>
        <v>12738544.350000001</v>
      </c>
      <c r="X31" s="163">
        <f t="shared" si="4"/>
        <v>1541379.1099999999</v>
      </c>
      <c r="Y31" s="163">
        <f t="shared" si="4"/>
        <v>7336082.8700000001</v>
      </c>
      <c r="Z31" s="163">
        <f t="shared" si="4"/>
        <v>18768640.639999997</v>
      </c>
      <c r="AA31" s="163">
        <f t="shared" si="4"/>
        <v>706099.99</v>
      </c>
      <c r="AB31" s="163">
        <f t="shared" si="4"/>
        <v>2417184.7800000003</v>
      </c>
      <c r="AC31" s="163">
        <f t="shared" si="4"/>
        <v>4013430.939999999</v>
      </c>
      <c r="AD31" s="163">
        <f t="shared" si="4"/>
        <v>2619581.15</v>
      </c>
      <c r="AE31" s="163">
        <f t="shared" si="4"/>
        <v>3635118.7400000012</v>
      </c>
      <c r="AF31" s="163">
        <f t="shared" si="4"/>
        <v>11150461.41</v>
      </c>
      <c r="AG31" s="163">
        <f t="shared" si="4"/>
        <v>13602160.380000003</v>
      </c>
      <c r="AH31" s="163">
        <f t="shared" si="4"/>
        <v>1092057.03</v>
      </c>
      <c r="AI31" s="163">
        <f t="shared" si="4"/>
        <v>701599.10000000009</v>
      </c>
      <c r="AJ31" s="163">
        <f t="shared" si="4"/>
        <v>8534823.7899999991</v>
      </c>
      <c r="AK31" s="163">
        <f t="shared" si="4"/>
        <v>6047592.71</v>
      </c>
      <c r="AL31" s="163">
        <f t="shared" si="4"/>
        <v>5457984.1900000004</v>
      </c>
      <c r="AM31" s="163">
        <f t="shared" si="4"/>
        <v>656281.18999999994</v>
      </c>
      <c r="AN31" s="163">
        <f t="shared" si="4"/>
        <v>10565433.899999997</v>
      </c>
      <c r="AO31" s="163">
        <f t="shared" si="4"/>
        <v>3441970.74</v>
      </c>
      <c r="AP31" s="163">
        <f t="shared" si="4"/>
        <v>3076484.37</v>
      </c>
      <c r="AQ31" s="163">
        <f t="shared" si="4"/>
        <v>6841720.2300000004</v>
      </c>
      <c r="AR31" s="163">
        <f t="shared" si="4"/>
        <v>3165423.8000000003</v>
      </c>
      <c r="AS31" s="163">
        <f t="shared" si="4"/>
        <v>4844555.72</v>
      </c>
      <c r="AT31" s="163">
        <f t="shared" si="4"/>
        <v>1645193.4</v>
      </c>
      <c r="AU31" s="163">
        <f t="shared" si="4"/>
        <v>10474718.66</v>
      </c>
      <c r="AV31" s="163">
        <f t="shared" si="4"/>
        <v>3501796.46</v>
      </c>
      <c r="AW31" s="163">
        <f t="shared" si="4"/>
        <v>2014759.52</v>
      </c>
      <c r="AX31" s="163">
        <f t="shared" si="4"/>
        <v>1398937.07</v>
      </c>
      <c r="AY31" s="163">
        <f t="shared" si="4"/>
        <v>7433540.3700000001</v>
      </c>
      <c r="AZ31" s="163">
        <f t="shared" si="4"/>
        <v>1868067.9200000002</v>
      </c>
      <c r="BA31" s="163">
        <f t="shared" si="4"/>
        <v>5715641.0500000017</v>
      </c>
      <c r="BB31" s="163">
        <f t="shared" si="4"/>
        <v>42437275.769999996</v>
      </c>
      <c r="BC31" s="163">
        <f t="shared" si="4"/>
        <v>2633476.2800000003</v>
      </c>
      <c r="BD31" s="13">
        <f>SUM(E31:W31)</f>
        <v>231092078.33000001</v>
      </c>
      <c r="BE31" s="13">
        <f>SUM(X31:AI31)</f>
        <v>67583796.140000001</v>
      </c>
      <c r="BF31" s="13">
        <f>SUM(AJ31:BC31)</f>
        <v>131755677.13999999</v>
      </c>
    </row>
    <row r="32" spans="1:58" ht="15" thickBot="1" x14ac:dyDescent="0.25">
      <c r="B32" s="154"/>
      <c r="D32" s="13"/>
      <c r="E32" s="161"/>
      <c r="BD32" s="13"/>
      <c r="BE32" s="13"/>
      <c r="BF32" s="13"/>
    </row>
    <row r="33" spans="1:58" ht="15.75" thickBot="1" x14ac:dyDescent="0.3">
      <c r="A33" s="7" t="s">
        <v>885</v>
      </c>
      <c r="B33" s="174"/>
      <c r="C33" s="7"/>
      <c r="D33" s="164">
        <f>IF(D31&lt;&gt;0,D29/D31,"")*100</f>
        <v>143.04566290899561</v>
      </c>
      <c r="E33" s="173">
        <f>IF(E31&lt;&gt;0,E29/E31,"")*100</f>
        <v>267.55125516673445</v>
      </c>
      <c r="F33" s="163">
        <f t="shared" ref="F33:BF33" si="5">IF(F31&lt;&gt;0,F29/F31,"")*100</f>
        <v>185.5054776489122</v>
      </c>
      <c r="G33" s="163">
        <f t="shared" si="5"/>
        <v>297.80855784299638</v>
      </c>
      <c r="H33" s="163">
        <f t="shared" si="5"/>
        <v>187.2076908185505</v>
      </c>
      <c r="I33" s="163">
        <f t="shared" si="5"/>
        <v>174.61682330183223</v>
      </c>
      <c r="J33" s="163">
        <f t="shared" si="5"/>
        <v>151.76606612101807</v>
      </c>
      <c r="K33" s="163">
        <f t="shared" si="5"/>
        <v>85.025861006201339</v>
      </c>
      <c r="L33" s="163">
        <f t="shared" si="5"/>
        <v>149.61829314636211</v>
      </c>
      <c r="M33" s="163">
        <f t="shared" si="5"/>
        <v>90.906766499411049</v>
      </c>
      <c r="N33" s="163">
        <f t="shared" si="5"/>
        <v>139.43807665626321</v>
      </c>
      <c r="O33" s="163">
        <f t="shared" si="5"/>
        <v>163.24766409780631</v>
      </c>
      <c r="P33" s="163">
        <f t="shared" si="5"/>
        <v>128.80122708611665</v>
      </c>
      <c r="Q33" s="163">
        <f t="shared" si="5"/>
        <v>122.41030728356013</v>
      </c>
      <c r="R33" s="163">
        <f t="shared" si="5"/>
        <v>196.12611442205554</v>
      </c>
      <c r="S33" s="163">
        <f t="shared" si="5"/>
        <v>269.10275682899186</v>
      </c>
      <c r="T33" s="163">
        <f t="shared" si="5"/>
        <v>142.00795283218264</v>
      </c>
      <c r="U33" s="163">
        <f t="shared" si="5"/>
        <v>118.1803701309511</v>
      </c>
      <c r="V33" s="163">
        <f t="shared" si="5"/>
        <v>135.60598111413427</v>
      </c>
      <c r="W33" s="163">
        <f t="shared" si="5"/>
        <v>122.43971933888974</v>
      </c>
      <c r="X33" s="163">
        <f t="shared" si="5"/>
        <v>29.47530539712583</v>
      </c>
      <c r="Y33" s="163">
        <f t="shared" si="5"/>
        <v>110.01275930243138</v>
      </c>
      <c r="Z33" s="163">
        <f t="shared" si="5"/>
        <v>19.026066290541969</v>
      </c>
      <c r="AA33" s="163">
        <f t="shared" si="5"/>
        <v>172.9565312697427</v>
      </c>
      <c r="AB33" s="163">
        <f t="shared" si="5"/>
        <v>178.43289498124341</v>
      </c>
      <c r="AC33" s="163">
        <f t="shared" si="5"/>
        <v>170.36128320673188</v>
      </c>
      <c r="AD33" s="163">
        <f t="shared" si="5"/>
        <v>145.13723806571139</v>
      </c>
      <c r="AE33" s="163">
        <f t="shared" si="5"/>
        <v>10.522922285614248</v>
      </c>
      <c r="AF33" s="163">
        <f t="shared" si="5"/>
        <v>46.261045891552932</v>
      </c>
      <c r="AG33" s="163">
        <f t="shared" si="5"/>
        <v>114.24106013959525</v>
      </c>
      <c r="AH33" s="163">
        <f t="shared" si="5"/>
        <v>148.59288255302928</v>
      </c>
      <c r="AI33" s="163">
        <f t="shared" si="5"/>
        <v>103.49158230106053</v>
      </c>
      <c r="AJ33" s="163">
        <f t="shared" si="5"/>
        <v>198.06399283610756</v>
      </c>
      <c r="AK33" s="163">
        <f t="shared" si="5"/>
        <v>129.70116071192896</v>
      </c>
      <c r="AL33" s="163">
        <f t="shared" si="5"/>
        <v>224.69209607585907</v>
      </c>
      <c r="AM33" s="163">
        <f t="shared" si="5"/>
        <v>213.55376953589058</v>
      </c>
      <c r="AN33" s="163">
        <f t="shared" si="5"/>
        <v>81.554118757015772</v>
      </c>
      <c r="AO33" s="163">
        <f t="shared" si="5"/>
        <v>143.51747045937989</v>
      </c>
      <c r="AP33" s="163">
        <f t="shared" si="5"/>
        <v>163.10316148298841</v>
      </c>
      <c r="AQ33" s="163">
        <f t="shared" si="5"/>
        <v>148.3052973360181</v>
      </c>
      <c r="AR33" s="163">
        <f t="shared" si="5"/>
        <v>178.12431561296782</v>
      </c>
      <c r="AS33" s="163">
        <f t="shared" si="5"/>
        <v>193.84109406011746</v>
      </c>
      <c r="AT33" s="163">
        <f t="shared" si="5"/>
        <v>98.992292334749223</v>
      </c>
      <c r="AU33" s="163">
        <f t="shared" si="5"/>
        <v>144.38762281754686</v>
      </c>
      <c r="AV33" s="163">
        <f t="shared" si="5"/>
        <v>163.59288397932758</v>
      </c>
      <c r="AW33" s="163">
        <f t="shared" si="5"/>
        <v>38.36534446552708</v>
      </c>
      <c r="AX33" s="163">
        <f t="shared" si="5"/>
        <v>139.22491381259917</v>
      </c>
      <c r="AY33" s="163">
        <f t="shared" si="5"/>
        <v>258.70251135798969</v>
      </c>
      <c r="AZ33" s="163">
        <f t="shared" si="5"/>
        <v>169.11306736641563</v>
      </c>
      <c r="BA33" s="163">
        <f t="shared" si="5"/>
        <v>183.63513153087172</v>
      </c>
      <c r="BB33" s="163">
        <f t="shared" si="5"/>
        <v>167.94781047275507</v>
      </c>
      <c r="BC33" s="163">
        <f t="shared" si="5"/>
        <v>172.03442098213998</v>
      </c>
      <c r="BD33" s="163">
        <f t="shared" si="5"/>
        <v>150.57243012160333</v>
      </c>
      <c r="BE33" s="163">
        <f t="shared" si="5"/>
        <v>76.495280529827909</v>
      </c>
      <c r="BF33" s="163">
        <f t="shared" si="5"/>
        <v>163.9810127729271</v>
      </c>
    </row>
    <row r="34" spans="1:58" x14ac:dyDescent="0.2">
      <c r="A34" s="169" t="s">
        <v>518</v>
      </c>
      <c r="B34" s="154"/>
      <c r="D34" s="13"/>
    </row>
    <row r="35" spans="1:58" x14ac:dyDescent="0.2">
      <c r="B35" s="154"/>
      <c r="D35" s="13"/>
    </row>
    <row r="36" spans="1:58"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F39"/>
  <sheetViews>
    <sheetView workbookViewId="0">
      <pane xSplit="4" ySplit="4" topLeftCell="AV2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1" spans="1:58" ht="18" x14ac:dyDescent="0.25">
      <c r="A1" s="227" t="s">
        <v>488</v>
      </c>
      <c r="B1" s="227"/>
      <c r="C1" s="227"/>
      <c r="D1" s="227"/>
    </row>
    <row r="3" spans="1:58" ht="15" x14ac:dyDescent="0.25">
      <c r="A3" s="7" t="s">
        <v>519</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7">
        <f>'4.1 Comptes 2023 natures'!BG3</f>
        <v>24357</v>
      </c>
    </row>
    <row r="4" spans="1:58"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58" ht="15" x14ac:dyDescent="0.25">
      <c r="A5" s="7" t="s">
        <v>821</v>
      </c>
      <c r="B5" s="108"/>
      <c r="C5" s="8">
        <v>690</v>
      </c>
      <c r="D5" s="168">
        <f>'Base de données indicateurs1'!BD58</f>
        <v>60898090.959999971</v>
      </c>
      <c r="E5" s="13">
        <f>'Base de données indicateurs1'!E58</f>
        <v>1771946.56</v>
      </c>
      <c r="F5" s="13">
        <f>'Base de données indicateurs1'!F58</f>
        <v>65959.149999999994</v>
      </c>
      <c r="G5" s="13">
        <f>'Base de données indicateurs1'!G58</f>
        <v>39456.93</v>
      </c>
      <c r="H5" s="13">
        <f>'Base de données indicateurs1'!H58</f>
        <v>41883.599999999999</v>
      </c>
      <c r="I5" s="13">
        <f>'Base de données indicateurs1'!I58</f>
        <v>5993855.8399999999</v>
      </c>
      <c r="J5" s="13">
        <f>'Base de données indicateurs1'!J58</f>
        <v>1194129.75</v>
      </c>
      <c r="K5" s="13">
        <f>'Base de données indicateurs1'!K58</f>
        <v>1533433.82</v>
      </c>
      <c r="L5" s="13">
        <f>'Base de données indicateurs1'!L58</f>
        <v>14731209.189999999</v>
      </c>
      <c r="M5" s="13">
        <f>'Base de données indicateurs1'!M58</f>
        <v>2257839.25</v>
      </c>
      <c r="N5" s="13">
        <f>'Base de données indicateurs1'!N58</f>
        <v>41267.75</v>
      </c>
      <c r="O5" s="13">
        <f>'Base de données indicateurs1'!O58</f>
        <v>5871184.3700000001</v>
      </c>
      <c r="P5" s="13">
        <f>'Base de données indicateurs1'!P58</f>
        <v>81241.62</v>
      </c>
      <c r="Q5" s="13">
        <f>'Base de données indicateurs1'!Q58</f>
        <v>26121.05</v>
      </c>
      <c r="R5" s="13">
        <f>'Base de données indicateurs1'!R58</f>
        <v>571739.03</v>
      </c>
      <c r="S5" s="13">
        <f>'Base de données indicateurs1'!S58</f>
        <v>18747.150000000001</v>
      </c>
      <c r="T5" s="13">
        <f>'Base de données indicateurs1'!T58</f>
        <v>40075.75</v>
      </c>
      <c r="U5" s="13">
        <f>'Base de données indicateurs1'!U58</f>
        <v>98779.16</v>
      </c>
      <c r="V5" s="13">
        <f>'Base de données indicateurs1'!V58</f>
        <v>13524.55</v>
      </c>
      <c r="W5" s="13">
        <f>'Base de données indicateurs1'!W58</f>
        <v>1792479.95</v>
      </c>
      <c r="X5" s="13">
        <f>'Base de données indicateurs1'!X58</f>
        <v>85627.8</v>
      </c>
      <c r="Y5" s="13">
        <f>'Base de données indicateurs1'!Y58</f>
        <v>426067.20000000001</v>
      </c>
      <c r="Z5" s="13">
        <f>'Base de données indicateurs1'!Z58</f>
        <v>1561611.65</v>
      </c>
      <c r="AA5" s="13">
        <f>'Base de données indicateurs1'!AA58</f>
        <v>181878.45</v>
      </c>
      <c r="AB5" s="13">
        <f>'Base de données indicateurs1'!AB58</f>
        <v>105748.1</v>
      </c>
      <c r="AC5" s="13">
        <f>'Base de données indicateurs1'!AC58</f>
        <v>800065.97</v>
      </c>
      <c r="AD5" s="13">
        <f>'Base de données indicateurs1'!AD58</f>
        <v>189251.4</v>
      </c>
      <c r="AE5" s="13">
        <f>'Base de données indicateurs1'!AE58</f>
        <v>255971.95</v>
      </c>
      <c r="AF5" s="13">
        <f>'Base de données indicateurs1'!AF58</f>
        <v>2149930.66</v>
      </c>
      <c r="AG5" s="13">
        <f>'Base de données indicateurs1'!AG58</f>
        <v>933570.84</v>
      </c>
      <c r="AH5" s="13">
        <f>'Base de données indicateurs1'!AH58</f>
        <v>245354.91</v>
      </c>
      <c r="AI5" s="13">
        <f>'Base de données indicateurs1'!AI58</f>
        <v>852018.05</v>
      </c>
      <c r="AJ5" s="13">
        <f>'Base de données indicateurs1'!AJ58</f>
        <v>614594.05000000005</v>
      </c>
      <c r="AK5" s="13">
        <f>'Base de données indicateurs1'!AK58</f>
        <v>123521.5</v>
      </c>
      <c r="AL5" s="13">
        <f>'Base de données indicateurs1'!AL58</f>
        <v>1379072.37</v>
      </c>
      <c r="AM5" s="13">
        <f>'Base de données indicateurs1'!AM58</f>
        <v>29611.8</v>
      </c>
      <c r="AN5" s="13">
        <f>'Base de données indicateurs1'!AN58</f>
        <v>1266531.1000000001</v>
      </c>
      <c r="AO5" s="13">
        <f>'Base de données indicateurs1'!AO58</f>
        <v>254076.55</v>
      </c>
      <c r="AP5" s="13">
        <f>'Base de données indicateurs1'!AP58</f>
        <v>1121531.47</v>
      </c>
      <c r="AQ5" s="13">
        <f>'Base de données indicateurs1'!AQ58</f>
        <v>881193.7</v>
      </c>
      <c r="AR5" s="13">
        <f>'Base de données indicateurs1'!AR58</f>
        <v>359515.8</v>
      </c>
      <c r="AS5" s="13">
        <f>'Base de données indicateurs1'!AS58</f>
        <v>213352.45</v>
      </c>
      <c r="AT5" s="13">
        <f>'Base de données indicateurs1'!AT58</f>
        <v>307820.15000000002</v>
      </c>
      <c r="AU5" s="13">
        <f>'Base de données indicateurs1'!AU58</f>
        <v>2525481.0499999998</v>
      </c>
      <c r="AV5" s="13">
        <f>'Base de données indicateurs1'!AV58</f>
        <v>428018.12</v>
      </c>
      <c r="AW5" s="13">
        <f>'Base de données indicateurs1'!AW58</f>
        <v>125702.05</v>
      </c>
      <c r="AX5" s="13">
        <f>'Base de données indicateurs1'!AX58</f>
        <v>55879.7</v>
      </c>
      <c r="AY5" s="13">
        <f>'Base de données indicateurs1'!AY58</f>
        <v>662666.80000000005</v>
      </c>
      <c r="AZ5" s="13">
        <f>'Base de données indicateurs1'!AZ58</f>
        <v>456466.83</v>
      </c>
      <c r="BA5" s="13">
        <f>'Base de données indicateurs1'!BA58</f>
        <v>395313</v>
      </c>
      <c r="BB5" s="13">
        <f>'Base de données indicateurs1'!BB58</f>
        <v>5194591.42</v>
      </c>
      <c r="BC5" s="13">
        <f>'Base de données indicateurs1'!BC58</f>
        <v>531179.6</v>
      </c>
      <c r="BD5" s="13">
        <f>SUM(E5:W5)</f>
        <v>36184874.469999991</v>
      </c>
      <c r="BE5" s="13">
        <f>SUM(X5:AI5)</f>
        <v>7787096.9799999995</v>
      </c>
      <c r="BF5" s="13">
        <f>SUM(AJ5:BC5)</f>
        <v>16926119.510000002</v>
      </c>
    </row>
    <row r="6" spans="1:58" x14ac:dyDescent="0.2">
      <c r="B6" s="165"/>
      <c r="D6" s="13"/>
      <c r="BD6" s="13"/>
      <c r="BE6" s="13"/>
      <c r="BF6" s="13"/>
    </row>
    <row r="7" spans="1:58" x14ac:dyDescent="0.2">
      <c r="A7" s="155" t="s">
        <v>272</v>
      </c>
      <c r="B7" s="156" t="s">
        <v>221</v>
      </c>
      <c r="C7" s="155">
        <v>30</v>
      </c>
      <c r="D7" s="157">
        <f>'Base de données indicateurs1'!BD18</f>
        <v>74638884.320000023</v>
      </c>
      <c r="E7" s="13">
        <f>'Base de données indicateurs1'!E18</f>
        <v>482187.44999999995</v>
      </c>
      <c r="F7" s="13">
        <f>'Base de données indicateurs1'!F18</f>
        <v>51802.35</v>
      </c>
      <c r="G7" s="13">
        <f>'Base de données indicateurs1'!G18</f>
        <v>131921.65000000002</v>
      </c>
      <c r="H7" s="13">
        <f>'Base de données indicateurs1'!H18</f>
        <v>291460.84999999998</v>
      </c>
      <c r="I7" s="13">
        <f>'Base de données indicateurs1'!I18</f>
        <v>2888125.87</v>
      </c>
      <c r="J7" s="13">
        <f>'Base de données indicateurs1'!J18</f>
        <v>3034162.3200000003</v>
      </c>
      <c r="K7" s="13">
        <f>'Base de données indicateurs1'!K18</f>
        <v>1141069.6000000001</v>
      </c>
      <c r="L7" s="13">
        <f>'Base de données indicateurs1'!L18</f>
        <v>25458251.550000001</v>
      </c>
      <c r="M7" s="13">
        <f>'Base de données indicateurs1'!M18</f>
        <v>1264390.3999999999</v>
      </c>
      <c r="N7" s="13">
        <f>'Base de données indicateurs1'!N18</f>
        <v>61677.939999999995</v>
      </c>
      <c r="O7" s="13">
        <f>'Base de données indicateurs1'!O18</f>
        <v>4084459.27</v>
      </c>
      <c r="P7" s="13">
        <f>'Base de données indicateurs1'!P18</f>
        <v>211434.19999999998</v>
      </c>
      <c r="Q7" s="13">
        <f>'Base de données indicateurs1'!Q18</f>
        <v>72370.8</v>
      </c>
      <c r="R7" s="13">
        <f>'Base de données indicateurs1'!R18</f>
        <v>238097</v>
      </c>
      <c r="S7" s="13">
        <f>'Base de données indicateurs1'!S18</f>
        <v>148861.20000000001</v>
      </c>
      <c r="T7" s="13">
        <f>'Base de données indicateurs1'!T18</f>
        <v>321731.10000000003</v>
      </c>
      <c r="U7" s="13">
        <f>'Base de données indicateurs1'!U18</f>
        <v>116955.77999999998</v>
      </c>
      <c r="V7" s="13">
        <f>'Base de données indicateurs1'!V18</f>
        <v>308042.64999999997</v>
      </c>
      <c r="W7" s="13">
        <f>'Base de données indicateurs1'!W18</f>
        <v>2429350.5500000003</v>
      </c>
      <c r="X7" s="13">
        <f>'Base de données indicateurs1'!X18</f>
        <v>137872.9</v>
      </c>
      <c r="Y7" s="13">
        <f>'Base de données indicateurs1'!Y18</f>
        <v>1411551.9000000001</v>
      </c>
      <c r="Z7" s="13">
        <f>'Base de données indicateurs1'!Z18</f>
        <v>1958979.4599999997</v>
      </c>
      <c r="AA7" s="13">
        <f>'Base de données indicateurs1'!AA18</f>
        <v>68982.7</v>
      </c>
      <c r="AB7" s="13">
        <f>'Base de données indicateurs1'!AB18</f>
        <v>401509.8</v>
      </c>
      <c r="AC7" s="13">
        <f>'Base de données indicateurs1'!AC18</f>
        <v>521343.35000000009</v>
      </c>
      <c r="AD7" s="13">
        <f>'Base de données indicateurs1'!AD18</f>
        <v>496186.2</v>
      </c>
      <c r="AE7" s="13">
        <f>'Base de données indicateurs1'!AE18</f>
        <v>402877.42</v>
      </c>
      <c r="AF7" s="13">
        <f>'Base de données indicateurs1'!AF18</f>
        <v>1063186.3</v>
      </c>
      <c r="AG7" s="13">
        <f>'Base de données indicateurs1'!AG18</f>
        <v>2035370.5</v>
      </c>
      <c r="AH7" s="13">
        <f>'Base de données indicateurs1'!AH18</f>
        <v>100622.25000000001</v>
      </c>
      <c r="AI7" s="13">
        <f>'Base de données indicateurs1'!AI18</f>
        <v>69322.899999999994</v>
      </c>
      <c r="AJ7" s="13">
        <f>'Base de données indicateurs1'!AJ18</f>
        <v>757870.07000000007</v>
      </c>
      <c r="AK7" s="13">
        <f>'Base de données indicateurs1'!AK18</f>
        <v>650342.94999999995</v>
      </c>
      <c r="AL7" s="13">
        <f>'Base de données indicateurs1'!AL18</f>
        <v>567185.91</v>
      </c>
      <c r="AM7" s="13">
        <f>'Base de données indicateurs1'!AM18</f>
        <v>73288.710000000006</v>
      </c>
      <c r="AN7" s="13">
        <f>'Base de données indicateurs1'!AN18</f>
        <v>1419442.5500000003</v>
      </c>
      <c r="AO7" s="13">
        <f>'Base de données indicateurs1'!AO18</f>
        <v>964765.13</v>
      </c>
      <c r="AP7" s="13">
        <f>'Base de données indicateurs1'!AP18</f>
        <v>239972.35</v>
      </c>
      <c r="AQ7" s="13">
        <f>'Base de données indicateurs1'!AQ18</f>
        <v>1429933.2000000002</v>
      </c>
      <c r="AR7" s="13">
        <f>'Base de données indicateurs1'!AR18</f>
        <v>477966.14999999997</v>
      </c>
      <c r="AS7" s="13">
        <f>'Base de données indicateurs1'!AS18</f>
        <v>572261.65</v>
      </c>
      <c r="AT7" s="13">
        <f>'Base de données indicateurs1'!AT18</f>
        <v>110596.92</v>
      </c>
      <c r="AU7" s="13">
        <f>'Base de données indicateurs1'!AU18</f>
        <v>1121975.3</v>
      </c>
      <c r="AV7" s="13">
        <f>'Base de données indicateurs1'!AV18</f>
        <v>527972.41</v>
      </c>
      <c r="AW7" s="13">
        <f>'Base de données indicateurs1'!AW18</f>
        <v>146684.51999999999</v>
      </c>
      <c r="AX7" s="13">
        <f>'Base de données indicateurs1'!AX18</f>
        <v>147970.4</v>
      </c>
      <c r="AY7" s="13">
        <f>'Base de données indicateurs1'!AY18</f>
        <v>902010.81</v>
      </c>
      <c r="AZ7" s="13">
        <f>'Base de données indicateurs1'!AZ18</f>
        <v>143884.9</v>
      </c>
      <c r="BA7" s="13">
        <f>'Base de données indicateurs1'!BA18</f>
        <v>1302379.3500000001</v>
      </c>
      <c r="BB7" s="13">
        <f>'Base de données indicateurs1'!BB18</f>
        <v>11343010.379999999</v>
      </c>
      <c r="BC7" s="13">
        <f>'Base de données indicateurs1'!BC18</f>
        <v>335212.45</v>
      </c>
      <c r="BD7" s="13">
        <f t="shared" ref="BD7:BD15" si="0">SUM(E7:W7)</f>
        <v>42736352.530000001</v>
      </c>
      <c r="BE7" s="13">
        <f t="shared" ref="BE7:BE15" si="1">SUM(X7:AI7)</f>
        <v>8667805.6799999997</v>
      </c>
      <c r="BF7" s="13">
        <f t="shared" ref="BF7:BF15" si="2">SUM(AJ7:BC7)</f>
        <v>23234726.109999999</v>
      </c>
    </row>
    <row r="8" spans="1:58" x14ac:dyDescent="0.2">
      <c r="A8" s="158" t="s">
        <v>520</v>
      </c>
      <c r="B8" s="159" t="s">
        <v>221</v>
      </c>
      <c r="C8" s="158">
        <v>31</v>
      </c>
      <c r="D8" s="160">
        <f>'Base de données indicateurs1'!BD19</f>
        <v>96876067.639999971</v>
      </c>
      <c r="E8" s="13">
        <f>'Base de données indicateurs1'!E19</f>
        <v>597375.05000000005</v>
      </c>
      <c r="F8" s="13">
        <f>'Base de données indicateurs1'!F19</f>
        <v>201802.98</v>
      </c>
      <c r="G8" s="13">
        <f>'Base de données indicateurs1'!G19</f>
        <v>171913.55999999997</v>
      </c>
      <c r="H8" s="13">
        <f>'Base de données indicateurs1'!H19</f>
        <v>537755.79999999993</v>
      </c>
      <c r="I8" s="13">
        <f>'Base de données indicateurs1'!I19</f>
        <v>4231856.3100000005</v>
      </c>
      <c r="J8" s="13">
        <f>'Base de données indicateurs1'!J19</f>
        <v>3175860.9299999992</v>
      </c>
      <c r="K8" s="13">
        <f>'Base de données indicateurs1'!K19</f>
        <v>1846362.1099999999</v>
      </c>
      <c r="L8" s="13">
        <f>'Base de données indicateurs1'!L19</f>
        <v>37726336.370000005</v>
      </c>
      <c r="M8" s="13">
        <f>'Base de données indicateurs1'!M19</f>
        <v>2482281.44</v>
      </c>
      <c r="N8" s="13">
        <f>'Base de données indicateurs1'!N19</f>
        <v>146137.36999999997</v>
      </c>
      <c r="O8" s="13">
        <f>'Base de données indicateurs1'!O19</f>
        <v>4676095.8199999994</v>
      </c>
      <c r="P8" s="13">
        <f>'Base de données indicateurs1'!P19</f>
        <v>355868.48</v>
      </c>
      <c r="Q8" s="13">
        <f>'Base de données indicateurs1'!Q19</f>
        <v>63085.299999999988</v>
      </c>
      <c r="R8" s="13">
        <f>'Base de données indicateurs1'!R19</f>
        <v>268150.38</v>
      </c>
      <c r="S8" s="13">
        <f>'Base de données indicateurs1'!S19</f>
        <v>330125.55000000005</v>
      </c>
      <c r="T8" s="13">
        <f>'Base de données indicateurs1'!T19</f>
        <v>987687.93</v>
      </c>
      <c r="U8" s="13">
        <f>'Base de données indicateurs1'!U19</f>
        <v>227211.72999999998</v>
      </c>
      <c r="V8" s="13">
        <f>'Base de données indicateurs1'!V19</f>
        <v>511894.79000000004</v>
      </c>
      <c r="W8" s="13">
        <f>'Base de données indicateurs1'!W19</f>
        <v>1944484.9100000001</v>
      </c>
      <c r="X8" s="13">
        <f>'Base de données indicateurs1'!X19</f>
        <v>450152.68000000005</v>
      </c>
      <c r="Y8" s="13">
        <f>'Base de données indicateurs1'!Y19</f>
        <v>1322569.1199999999</v>
      </c>
      <c r="Z8" s="13">
        <f>'Base de données indicateurs1'!Z19</f>
        <v>2587484.5500000003</v>
      </c>
      <c r="AA8" s="13">
        <f>'Base de données indicateurs1'!AA19</f>
        <v>201905.41</v>
      </c>
      <c r="AB8" s="13">
        <f>'Base de données indicateurs1'!AB19</f>
        <v>682213.06000000017</v>
      </c>
      <c r="AC8" s="13">
        <f>'Base de données indicateurs1'!AC19</f>
        <v>880760.37</v>
      </c>
      <c r="AD8" s="13">
        <f>'Base de données indicateurs1'!AD19</f>
        <v>645006.85</v>
      </c>
      <c r="AE8" s="13">
        <f>'Base de données indicateurs1'!AE19</f>
        <v>1203098.3399999999</v>
      </c>
      <c r="AF8" s="13">
        <f>'Base de données indicateurs1'!AF19</f>
        <v>2249442.61</v>
      </c>
      <c r="AG8" s="13">
        <f>'Base de données indicateurs1'!AG19</f>
        <v>2853152.99</v>
      </c>
      <c r="AH8" s="13">
        <f>'Base de données indicateurs1'!AH19</f>
        <v>324173.99000000005</v>
      </c>
      <c r="AI8" s="13">
        <f>'Base de données indicateurs1'!AI19</f>
        <v>130944.41</v>
      </c>
      <c r="AJ8" s="13">
        <f>'Base de données indicateurs1'!AJ19</f>
        <v>1171439.29</v>
      </c>
      <c r="AK8" s="13">
        <f>'Base de données indicateurs1'!AK19</f>
        <v>1249615.24</v>
      </c>
      <c r="AL8" s="13">
        <f>'Base de données indicateurs1'!AL19</f>
        <v>1218430.22</v>
      </c>
      <c r="AM8" s="13">
        <f>'Base de données indicateurs1'!AM19</f>
        <v>221567.4</v>
      </c>
      <c r="AN8" s="13">
        <f>'Base de données indicateurs1'!AN19</f>
        <v>1669322.6300000001</v>
      </c>
      <c r="AO8" s="13">
        <f>'Base de données indicateurs1'!AO19</f>
        <v>718404.63</v>
      </c>
      <c r="AP8" s="13">
        <f>'Base de données indicateurs1'!AP19</f>
        <v>468990.31999999995</v>
      </c>
      <c r="AQ8" s="13">
        <f>'Base de données indicateurs1'!AQ19</f>
        <v>1639578.21</v>
      </c>
      <c r="AR8" s="13">
        <f>'Base de données indicateurs1'!AR19</f>
        <v>649716.13</v>
      </c>
      <c r="AS8" s="13">
        <f>'Base de données indicateurs1'!AS19</f>
        <v>988121.3</v>
      </c>
      <c r="AT8" s="13">
        <f>'Base de données indicateurs1'!AT19</f>
        <v>81966.03</v>
      </c>
      <c r="AU8" s="13">
        <f>'Base de données indicateurs1'!AU19</f>
        <v>1617327.95</v>
      </c>
      <c r="AV8" s="13">
        <f>'Base de données indicateurs1'!AV19</f>
        <v>501920.98</v>
      </c>
      <c r="AW8" s="13">
        <f>'Base de données indicateurs1'!AW19</f>
        <v>305832.90999999997</v>
      </c>
      <c r="AX8" s="13">
        <f>'Base de données indicateurs1'!AX19</f>
        <v>378103.61</v>
      </c>
      <c r="AY8" s="13">
        <f>'Base de données indicateurs1'!AY19</f>
        <v>1241389.77</v>
      </c>
      <c r="AZ8" s="13">
        <f>'Base de données indicateurs1'!AZ19</f>
        <v>493194.06000000006</v>
      </c>
      <c r="BA8" s="13">
        <f>'Base de données indicateurs1'!BA19</f>
        <v>1047635.3100000002</v>
      </c>
      <c r="BB8" s="13">
        <f>'Base de données indicateurs1'!BB19</f>
        <v>6710284.5800000001</v>
      </c>
      <c r="BC8" s="13">
        <f>'Base de données indicateurs1'!BC19</f>
        <v>490035.88</v>
      </c>
      <c r="BD8" s="13">
        <f t="shared" si="0"/>
        <v>60482286.809999987</v>
      </c>
      <c r="BE8" s="13">
        <f t="shared" si="1"/>
        <v>13530904.380000001</v>
      </c>
      <c r="BF8" s="13">
        <f t="shared" si="2"/>
        <v>22862876.449999999</v>
      </c>
    </row>
    <row r="9" spans="1:58" x14ac:dyDescent="0.2">
      <c r="A9" s="158" t="s">
        <v>275</v>
      </c>
      <c r="B9" s="159" t="s">
        <v>222</v>
      </c>
      <c r="C9" s="158">
        <v>3180</v>
      </c>
      <c r="D9" s="160">
        <f>'Base de données indicateurs1'!BD20</f>
        <v>1897264.9899999998</v>
      </c>
      <c r="E9" s="13">
        <f>'Base de données indicateurs1'!E20</f>
        <v>16636</v>
      </c>
      <c r="F9" s="13">
        <f>'Base de données indicateurs1'!F20</f>
        <v>-2186.5500000000002</v>
      </c>
      <c r="G9" s="13">
        <f>'Base de données indicateurs1'!G20</f>
        <v>-28380.41</v>
      </c>
      <c r="H9" s="13">
        <f>'Base de données indicateurs1'!H20</f>
        <v>0</v>
      </c>
      <c r="I9" s="13">
        <f>'Base de données indicateurs1'!I20</f>
        <v>199596.81</v>
      </c>
      <c r="J9" s="13">
        <f>'Base de données indicateurs1'!J20</f>
        <v>97571.78</v>
      </c>
      <c r="K9" s="13">
        <f>'Base de données indicateurs1'!K20</f>
        <v>72987.14</v>
      </c>
      <c r="L9" s="13">
        <f>'Base de données indicateurs1'!L20</f>
        <v>467592.63</v>
      </c>
      <c r="M9" s="13">
        <f>'Base de données indicateurs1'!M20</f>
        <v>19395.66</v>
      </c>
      <c r="N9" s="13">
        <f>'Base de données indicateurs1'!N20</f>
        <v>31.86</v>
      </c>
      <c r="O9" s="13">
        <f>'Base de données indicateurs1'!O20</f>
        <v>-2388</v>
      </c>
      <c r="P9" s="13">
        <f>'Base de données indicateurs1'!P20</f>
        <v>17120.59</v>
      </c>
      <c r="Q9" s="13">
        <f>'Base de données indicateurs1'!Q20</f>
        <v>3.34</v>
      </c>
      <c r="R9" s="13">
        <f>'Base de données indicateurs1'!R20</f>
        <v>11573.61</v>
      </c>
      <c r="S9" s="13">
        <f>'Base de données indicateurs1'!S20</f>
        <v>12251.28</v>
      </c>
      <c r="T9" s="13">
        <f>'Base de données indicateurs1'!T20</f>
        <v>15858.65</v>
      </c>
      <c r="U9" s="13">
        <f>'Base de données indicateurs1'!U20</f>
        <v>479.68</v>
      </c>
      <c r="V9" s="13">
        <f>'Base de données indicateurs1'!V20</f>
        <v>17378.080000000002</v>
      </c>
      <c r="W9" s="13">
        <f>'Base de données indicateurs1'!W20</f>
        <v>117433.52</v>
      </c>
      <c r="X9" s="13">
        <f>'Base de données indicateurs1'!X20</f>
        <v>7275.45</v>
      </c>
      <c r="Y9" s="13">
        <f>'Base de données indicateurs1'!Y20</f>
        <v>63379.95</v>
      </c>
      <c r="Z9" s="13">
        <f>'Base de données indicateurs1'!Z20</f>
        <v>6535.23</v>
      </c>
      <c r="AA9" s="13">
        <f>'Base de données indicateurs1'!AA20</f>
        <v>1881.45</v>
      </c>
      <c r="AB9" s="13">
        <f>'Base de données indicateurs1'!AB20</f>
        <v>-54875.09</v>
      </c>
      <c r="AC9" s="13">
        <f>'Base de données indicateurs1'!AC20</f>
        <v>9273.68</v>
      </c>
      <c r="AD9" s="13">
        <f>'Base de données indicateurs1'!AD20</f>
        <v>900</v>
      </c>
      <c r="AE9" s="13">
        <f>'Base de données indicateurs1'!AE20</f>
        <v>62202.97</v>
      </c>
      <c r="AF9" s="13">
        <f>'Base de données indicateurs1'!AF20</f>
        <v>22920</v>
      </c>
      <c r="AG9" s="13">
        <f>'Base de données indicateurs1'!AG20</f>
        <v>-8519.08</v>
      </c>
      <c r="AH9" s="13">
        <f>'Base de données indicateurs1'!AH20</f>
        <v>1220.3499999999999</v>
      </c>
      <c r="AI9" s="13">
        <f>'Base de données indicateurs1'!AI20</f>
        <v>3402.65</v>
      </c>
      <c r="AJ9" s="13">
        <f>'Base de données indicateurs1'!AJ20</f>
        <v>45419.49</v>
      </c>
      <c r="AK9" s="13">
        <f>'Base de données indicateurs1'!AK20</f>
        <v>32400.16</v>
      </c>
      <c r="AL9" s="13">
        <f>'Base de données indicateurs1'!AL20</f>
        <v>65229.57</v>
      </c>
      <c r="AM9" s="13">
        <f>'Base de données indicateurs1'!AM20</f>
        <v>25746.400000000001</v>
      </c>
      <c r="AN9" s="13">
        <f>'Base de données indicateurs1'!AN20</f>
        <v>78032.36</v>
      </c>
      <c r="AO9" s="13">
        <f>'Base de données indicateurs1'!AO20</f>
        <v>44995.58</v>
      </c>
      <c r="AP9" s="13">
        <f>'Base de données indicateurs1'!AP20</f>
        <v>19629.169999999998</v>
      </c>
      <c r="AQ9" s="13">
        <f>'Base de données indicateurs1'!AQ20</f>
        <v>52949.59</v>
      </c>
      <c r="AR9" s="13">
        <f>'Base de données indicateurs1'!AR20</f>
        <v>34217.410000000003</v>
      </c>
      <c r="AS9" s="13">
        <f>'Base de données indicateurs1'!AS20</f>
        <v>-17784.259999999998</v>
      </c>
      <c r="AT9" s="13">
        <f>'Base de données indicateurs1'!AT20</f>
        <v>-178887.98</v>
      </c>
      <c r="AU9" s="13">
        <f>'Base de données indicateurs1'!AU20</f>
        <v>7180.76</v>
      </c>
      <c r="AV9" s="13">
        <f>'Base de données indicateurs1'!AV20</f>
        <v>14633.62</v>
      </c>
      <c r="AW9" s="13">
        <f>'Base de données indicateurs1'!AW20</f>
        <v>6639.25</v>
      </c>
      <c r="AX9" s="13">
        <f>'Base de données indicateurs1'!AX20</f>
        <v>22781.15</v>
      </c>
      <c r="AY9" s="13">
        <f>'Base de données indicateurs1'!AY20</f>
        <v>55051.59</v>
      </c>
      <c r="AZ9" s="13">
        <f>'Base de données indicateurs1'!AZ20</f>
        <v>20416.88</v>
      </c>
      <c r="BA9" s="13">
        <f>'Base de données indicateurs1'!BA20</f>
        <v>13064.78</v>
      </c>
      <c r="BB9" s="13">
        <f>'Base de données indicateurs1'!BB20</f>
        <v>328199.05</v>
      </c>
      <c r="BC9" s="13">
        <f>'Base de données indicateurs1'!BC20</f>
        <v>78797.19</v>
      </c>
      <c r="BD9" s="13">
        <f t="shared" si="0"/>
        <v>1032955.67</v>
      </c>
      <c r="BE9" s="13">
        <f t="shared" si="1"/>
        <v>115597.55999999998</v>
      </c>
      <c r="BF9" s="13">
        <f t="shared" si="2"/>
        <v>748711.76</v>
      </c>
    </row>
    <row r="10" spans="1:58" x14ac:dyDescent="0.2">
      <c r="A10" s="158" t="s">
        <v>97</v>
      </c>
      <c r="B10" s="159" t="s">
        <v>221</v>
      </c>
      <c r="C10" s="158">
        <v>34</v>
      </c>
      <c r="D10" s="160">
        <f>'Base de données indicateurs1'!BD22</f>
        <v>10097855.279999999</v>
      </c>
      <c r="E10" s="13">
        <f>'Base de données indicateurs1'!E22</f>
        <v>156645.15</v>
      </c>
      <c r="F10" s="13">
        <f>'Base de données indicateurs1'!F22</f>
        <v>41407.5</v>
      </c>
      <c r="G10" s="13">
        <f>'Base de données indicateurs1'!G22</f>
        <v>71642.899999999994</v>
      </c>
      <c r="H10" s="13">
        <f>'Base de données indicateurs1'!H22</f>
        <v>75086.97</v>
      </c>
      <c r="I10" s="13">
        <f>'Base de données indicateurs1'!I22</f>
        <v>465914.24</v>
      </c>
      <c r="J10" s="13">
        <f>'Base de données indicateurs1'!J22</f>
        <v>363924.84</v>
      </c>
      <c r="K10" s="13">
        <f>'Base de données indicateurs1'!K22</f>
        <v>225427.17</v>
      </c>
      <c r="L10" s="13">
        <f>'Base de données indicateurs1'!L22</f>
        <v>3137578.96</v>
      </c>
      <c r="M10" s="13">
        <f>'Base de données indicateurs1'!M22</f>
        <v>71454.469999999987</v>
      </c>
      <c r="N10" s="13">
        <f>'Base de données indicateurs1'!N22</f>
        <v>6710.34</v>
      </c>
      <c r="O10" s="13">
        <f>'Base de données indicateurs1'!O22</f>
        <v>522748.54000000004</v>
      </c>
      <c r="P10" s="13">
        <f>'Base de données indicateurs1'!P22</f>
        <v>45785.06</v>
      </c>
      <c r="Q10" s="13">
        <f>'Base de données indicateurs1'!Q22</f>
        <v>10831.4</v>
      </c>
      <c r="R10" s="13">
        <f>'Base de données indicateurs1'!R22</f>
        <v>32937.9</v>
      </c>
      <c r="S10" s="13">
        <f>'Base de données indicateurs1'!S22</f>
        <v>68693.420000000013</v>
      </c>
      <c r="T10" s="13">
        <f>'Base de données indicateurs1'!T22</f>
        <v>79640.849999999991</v>
      </c>
      <c r="U10" s="13">
        <f>'Base de données indicateurs1'!U22</f>
        <v>26601.370000000003</v>
      </c>
      <c r="V10" s="13">
        <f>'Base de données indicateurs1'!V22</f>
        <v>43079.06</v>
      </c>
      <c r="W10" s="13">
        <f>'Base de données indicateurs1'!W22</f>
        <v>225667.03000000003</v>
      </c>
      <c r="X10" s="13">
        <f>'Base de données indicateurs1'!X22</f>
        <v>7580.37</v>
      </c>
      <c r="Y10" s="13">
        <f>'Base de données indicateurs1'!Y22</f>
        <v>136098.04999999999</v>
      </c>
      <c r="Z10" s="13">
        <f>'Base de données indicateurs1'!Z22</f>
        <v>19209.949999999997</v>
      </c>
      <c r="AA10" s="13">
        <f>'Base de données indicateurs1'!AA22</f>
        <v>16817.96</v>
      </c>
      <c r="AB10" s="13">
        <f>'Base de données indicateurs1'!AB22</f>
        <v>77250.570000000007</v>
      </c>
      <c r="AC10" s="13">
        <f>'Base de données indicateurs1'!AC22</f>
        <v>72852</v>
      </c>
      <c r="AD10" s="13">
        <f>'Base de données indicateurs1'!AD22</f>
        <v>45431.34</v>
      </c>
      <c r="AE10" s="13">
        <f>'Base de données indicateurs1'!AE22</f>
        <v>53681.71</v>
      </c>
      <c r="AF10" s="13">
        <f>'Base de données indicateurs1'!AF22</f>
        <v>217881.93</v>
      </c>
      <c r="AG10" s="13">
        <f>'Base de données indicateurs1'!AG22</f>
        <v>161021.28</v>
      </c>
      <c r="AH10" s="13">
        <f>'Base de données indicateurs1'!AH22</f>
        <v>20659.689999999999</v>
      </c>
      <c r="AI10" s="13">
        <f>'Base de données indicateurs1'!AI22</f>
        <v>23787.26</v>
      </c>
      <c r="AJ10" s="13">
        <f>'Base de données indicateurs1'!AJ22</f>
        <v>193072.96000000002</v>
      </c>
      <c r="AK10" s="13">
        <f>'Base de données indicateurs1'!AK22</f>
        <v>182401.51</v>
      </c>
      <c r="AL10" s="13">
        <f>'Base de données indicateurs1'!AL22</f>
        <v>165140.11999999997</v>
      </c>
      <c r="AM10" s="13">
        <f>'Base de données indicateurs1'!AM22</f>
        <v>20139.04</v>
      </c>
      <c r="AN10" s="13">
        <f>'Base de données indicateurs1'!AN22</f>
        <v>210422.44</v>
      </c>
      <c r="AO10" s="13">
        <f>'Base de données indicateurs1'!AO22</f>
        <v>104632.8</v>
      </c>
      <c r="AP10" s="13">
        <f>'Base de données indicateurs1'!AP22</f>
        <v>79824.19</v>
      </c>
      <c r="AQ10" s="13">
        <f>'Base de données indicateurs1'!AQ22</f>
        <v>253951.61</v>
      </c>
      <c r="AR10" s="13">
        <f>'Base de données indicateurs1'!AR22</f>
        <v>71889.08</v>
      </c>
      <c r="AS10" s="13">
        <f>'Base de données indicateurs1'!AS22</f>
        <v>153944.44</v>
      </c>
      <c r="AT10" s="13">
        <f>'Base de données indicateurs1'!AT22</f>
        <v>21291.29</v>
      </c>
      <c r="AU10" s="13">
        <f>'Base de données indicateurs1'!AU22</f>
        <v>221196.53</v>
      </c>
      <c r="AV10" s="13">
        <f>'Base de données indicateurs1'!AV22</f>
        <v>75014.080000000002</v>
      </c>
      <c r="AW10" s="13">
        <f>'Base de données indicateurs1'!AW22</f>
        <v>10117.4</v>
      </c>
      <c r="AX10" s="13">
        <f>'Base de données indicateurs1'!AX22</f>
        <v>16170.03</v>
      </c>
      <c r="AY10" s="13">
        <f>'Base de données indicateurs1'!AY22</f>
        <v>302800.28999999998</v>
      </c>
      <c r="AZ10" s="13">
        <f>'Base de données indicateurs1'!AZ22</f>
        <v>48153.61</v>
      </c>
      <c r="BA10" s="13">
        <f>'Base de données indicateurs1'!BA22</f>
        <v>154613.01999999999</v>
      </c>
      <c r="BB10" s="13">
        <f>'Base de données indicateurs1'!BB22</f>
        <v>1219904.48</v>
      </c>
      <c r="BC10" s="13">
        <f>'Base de données indicateurs1'!BC22</f>
        <v>69127.08</v>
      </c>
      <c r="BD10" s="13">
        <f t="shared" si="0"/>
        <v>5671777.1699999999</v>
      </c>
      <c r="BE10" s="13">
        <f t="shared" si="1"/>
        <v>852272.11</v>
      </c>
      <c r="BF10" s="13">
        <f t="shared" si="2"/>
        <v>3573806</v>
      </c>
    </row>
    <row r="11" spans="1:58" x14ac:dyDescent="0.2">
      <c r="A11" s="158" t="s">
        <v>102</v>
      </c>
      <c r="B11" s="159" t="s">
        <v>222</v>
      </c>
      <c r="C11" s="158">
        <v>344</v>
      </c>
      <c r="D11" s="160">
        <f>'Base de données indicateurs1'!BD24</f>
        <v>164282.69999999998</v>
      </c>
      <c r="E11" s="13">
        <f>'Base de données indicateurs1'!E24</f>
        <v>0</v>
      </c>
      <c r="F11" s="13">
        <f>'Base de données indicateurs1'!F24</f>
        <v>0</v>
      </c>
      <c r="G11" s="13">
        <f>'Base de données indicateurs1'!G24</f>
        <v>0</v>
      </c>
      <c r="H11" s="13">
        <f>'Base de données indicateurs1'!H24</f>
        <v>0</v>
      </c>
      <c r="I11" s="13">
        <f>'Base de données indicateurs1'!I24</f>
        <v>176</v>
      </c>
      <c r="J11" s="13">
        <f>'Base de données indicateurs1'!J24</f>
        <v>10</v>
      </c>
      <c r="K11" s="13">
        <f>'Base de données indicateurs1'!K24</f>
        <v>6652.55</v>
      </c>
      <c r="L11" s="13">
        <f>'Base de données indicateurs1'!L24</f>
        <v>0</v>
      </c>
      <c r="M11" s="13">
        <f>'Base de données indicateurs1'!M24</f>
        <v>10</v>
      </c>
      <c r="N11" s="13">
        <f>'Base de données indicateurs1'!N24</f>
        <v>0</v>
      </c>
      <c r="O11" s="13">
        <f>'Base de données indicateurs1'!O24</f>
        <v>1463</v>
      </c>
      <c r="P11" s="13">
        <f>'Base de données indicateurs1'!P24</f>
        <v>0</v>
      </c>
      <c r="Q11" s="13">
        <f>'Base de données indicateurs1'!Q24</f>
        <v>5</v>
      </c>
      <c r="R11" s="13">
        <f>'Base de données indicateurs1'!R24</f>
        <v>0</v>
      </c>
      <c r="S11" s="13">
        <f>'Base de données indicateurs1'!S24</f>
        <v>0</v>
      </c>
      <c r="T11" s="13">
        <f>'Base de données indicateurs1'!T24</f>
        <v>1632.55</v>
      </c>
      <c r="U11" s="13">
        <f>'Base de données indicateurs1'!U24</f>
        <v>0</v>
      </c>
      <c r="V11" s="13">
        <f>'Base de données indicateurs1'!V24</f>
        <v>0</v>
      </c>
      <c r="W11" s="13">
        <f>'Base de données indicateurs1'!W24</f>
        <v>0</v>
      </c>
      <c r="X11" s="13">
        <f>'Base de données indicateurs1'!X24</f>
        <v>0</v>
      </c>
      <c r="Y11" s="13">
        <f>'Base de données indicateurs1'!Y24</f>
        <v>520</v>
      </c>
      <c r="Z11" s="13">
        <f>'Base de données indicateurs1'!Z24</f>
        <v>0</v>
      </c>
      <c r="AA11" s="13">
        <f>'Base de données indicateurs1'!AA24</f>
        <v>0</v>
      </c>
      <c r="AB11" s="13">
        <f>'Base de données indicateurs1'!AB24</f>
        <v>0</v>
      </c>
      <c r="AC11" s="13">
        <f>'Base de données indicateurs1'!AC24</f>
        <v>5</v>
      </c>
      <c r="AD11" s="13">
        <f>'Base de données indicateurs1'!AD24</f>
        <v>0</v>
      </c>
      <c r="AE11" s="13">
        <f>'Base de données indicateurs1'!AE24</f>
        <v>0</v>
      </c>
      <c r="AF11" s="13">
        <f>'Base de données indicateurs1'!AF24</f>
        <v>153087.04999999999</v>
      </c>
      <c r="AG11" s="13">
        <f>'Base de données indicateurs1'!AG24</f>
        <v>0</v>
      </c>
      <c r="AH11" s="13">
        <f>'Base de données indicateurs1'!AH24</f>
        <v>0</v>
      </c>
      <c r="AI11" s="13">
        <f>'Base de données indicateurs1'!AI24</f>
        <v>300</v>
      </c>
      <c r="AJ11" s="13">
        <f>'Base de données indicateurs1'!AJ24</f>
        <v>0</v>
      </c>
      <c r="AK11" s="13">
        <f>'Base de données indicateurs1'!AK24</f>
        <v>0</v>
      </c>
      <c r="AL11" s="13">
        <f>'Base de données indicateurs1'!AL24</f>
        <v>161.55000000000001</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125</v>
      </c>
      <c r="AZ11" s="13">
        <f>'Base de données indicateurs1'!AZ24</f>
        <v>0</v>
      </c>
      <c r="BA11" s="13">
        <f>'Base de données indicateurs1'!BA24</f>
        <v>135</v>
      </c>
      <c r="BB11" s="13">
        <f>'Base de données indicateurs1'!BB24</f>
        <v>0</v>
      </c>
      <c r="BC11" s="13">
        <f>'Base de données indicateurs1'!BC24</f>
        <v>0</v>
      </c>
      <c r="BD11" s="13">
        <f t="shared" si="0"/>
        <v>9949.0999999999985</v>
      </c>
      <c r="BE11" s="13">
        <f t="shared" si="1"/>
        <v>153912.04999999999</v>
      </c>
      <c r="BF11" s="13">
        <f t="shared" si="2"/>
        <v>421.55</v>
      </c>
    </row>
    <row r="12" spans="1:58" x14ac:dyDescent="0.2">
      <c r="A12" s="158" t="s">
        <v>282</v>
      </c>
      <c r="B12" s="159" t="s">
        <v>221</v>
      </c>
      <c r="C12" s="158">
        <v>36</v>
      </c>
      <c r="D12" s="160">
        <f>'Base de données indicateurs1'!BD26</f>
        <v>201695653.33000004</v>
      </c>
      <c r="E12" s="13">
        <f>'Base de données indicateurs1'!E26</f>
        <v>2345563.2599999998</v>
      </c>
      <c r="F12" s="13">
        <f>'Base de données indicateurs1'!F26</f>
        <v>654032.80000000005</v>
      </c>
      <c r="G12" s="13">
        <f>'Base de données indicateurs1'!G26</f>
        <v>1087397.1000000001</v>
      </c>
      <c r="H12" s="13">
        <f>'Base de données indicateurs1'!H26</f>
        <v>1029945.8</v>
      </c>
      <c r="I12" s="13">
        <f>'Base de données indicateurs1'!I26</f>
        <v>7923859.1500000004</v>
      </c>
      <c r="J12" s="13">
        <f>'Base de données indicateurs1'!J26</f>
        <v>6872706.1999999993</v>
      </c>
      <c r="K12" s="13">
        <f>'Base de données indicateurs1'!K26</f>
        <v>6793787.6699999999</v>
      </c>
      <c r="L12" s="13">
        <f>'Base de données indicateurs1'!L26</f>
        <v>44381760.149999999</v>
      </c>
      <c r="M12" s="13">
        <f>'Base de données indicateurs1'!M26</f>
        <v>3945444.9299999997</v>
      </c>
      <c r="N12" s="13">
        <f>'Base de données indicateurs1'!N26</f>
        <v>246934.5</v>
      </c>
      <c r="O12" s="13">
        <f>'Base de données indicateurs1'!O26</f>
        <v>17422916.989999998</v>
      </c>
      <c r="P12" s="13">
        <f>'Base de données indicateurs1'!P26</f>
        <v>1114306.5000000002</v>
      </c>
      <c r="Q12" s="13">
        <f>'Base de données indicateurs1'!Q26</f>
        <v>239063.55</v>
      </c>
      <c r="R12" s="13">
        <f>'Base de données indicateurs1'!R26</f>
        <v>903886.71000000008</v>
      </c>
      <c r="S12" s="13">
        <f>'Base de données indicateurs1'!S26</f>
        <v>759013.82000000007</v>
      </c>
      <c r="T12" s="13">
        <f>'Base de données indicateurs1'!T26</f>
        <v>1662997.19</v>
      </c>
      <c r="U12" s="13">
        <f>'Base de données indicateurs1'!U26</f>
        <v>607069.04</v>
      </c>
      <c r="V12" s="13">
        <f>'Base de données indicateurs1'!V26</f>
        <v>1351480.9</v>
      </c>
      <c r="W12" s="13">
        <f>'Base de données indicateurs1'!W26</f>
        <v>6515979.3299999991</v>
      </c>
      <c r="X12" s="13">
        <f>'Base de données indicateurs1'!X26</f>
        <v>786930.84000000008</v>
      </c>
      <c r="Y12" s="13">
        <f>'Base de données indicateurs1'!Y26</f>
        <v>3063906.92</v>
      </c>
      <c r="Z12" s="13">
        <f>'Base de données indicateurs1'!Z26</f>
        <v>7481289.8000000007</v>
      </c>
      <c r="AA12" s="13">
        <f>'Base de données indicateurs1'!AA26</f>
        <v>407766.5</v>
      </c>
      <c r="AB12" s="13">
        <f>'Base de données indicateurs1'!AB26</f>
        <v>1346485.6099999999</v>
      </c>
      <c r="AC12" s="13">
        <f>'Base de données indicateurs1'!AC26</f>
        <v>1805674.08</v>
      </c>
      <c r="AD12" s="13">
        <f>'Base de données indicateurs1'!AD26</f>
        <v>1281747.95</v>
      </c>
      <c r="AE12" s="13">
        <f>'Base de données indicateurs1'!AE26</f>
        <v>1309650.6099999999</v>
      </c>
      <c r="AF12" s="13">
        <f>'Base de données indicateurs1'!AF26</f>
        <v>5367761.01</v>
      </c>
      <c r="AG12" s="13">
        <f>'Base de données indicateurs1'!AG26</f>
        <v>6111203.9299999997</v>
      </c>
      <c r="AH12" s="13">
        <f>'Base de données indicateurs1'!AH26</f>
        <v>527093.91</v>
      </c>
      <c r="AI12" s="13">
        <f>'Base de données indicateurs1'!AI26</f>
        <v>273830.59999999998</v>
      </c>
      <c r="AJ12" s="13">
        <f>'Base de données indicateurs1'!AJ26</f>
        <v>4997687.55</v>
      </c>
      <c r="AK12" s="13">
        <f>'Base de données indicateurs1'!AK26</f>
        <v>2694353.56</v>
      </c>
      <c r="AL12" s="13">
        <f>'Base de données indicateurs1'!AL26</f>
        <v>3050106.12</v>
      </c>
      <c r="AM12" s="13">
        <f>'Base de données indicateurs1'!AM26</f>
        <v>309919.02</v>
      </c>
      <c r="AN12" s="13">
        <f>'Base de données indicateurs1'!AN26</f>
        <v>4435630.34</v>
      </c>
      <c r="AO12" s="13">
        <f>'Base de données indicateurs1'!AO26</f>
        <v>1997902.5499999998</v>
      </c>
      <c r="AP12" s="13">
        <f>'Base de données indicateurs1'!AP26</f>
        <v>1533011.9</v>
      </c>
      <c r="AQ12" s="13">
        <f>'Base de données indicateurs1'!AQ26</f>
        <v>2955588.2</v>
      </c>
      <c r="AR12" s="13">
        <f>'Base de données indicateurs1'!AR26</f>
        <v>1962104.25</v>
      </c>
      <c r="AS12" s="13">
        <f>'Base de données indicateurs1'!AS26</f>
        <v>2661124.91</v>
      </c>
      <c r="AT12" s="13">
        <f>'Base de données indicateurs1'!AT26</f>
        <v>758140.8</v>
      </c>
      <c r="AU12" s="13">
        <f>'Base de données indicateurs1'!AU26</f>
        <v>6736468.4100000001</v>
      </c>
      <c r="AV12" s="13">
        <f>'Base de données indicateurs1'!AV26</f>
        <v>2019357.81</v>
      </c>
      <c r="AW12" s="13">
        <f>'Base de données indicateurs1'!AW26</f>
        <v>1001061.66</v>
      </c>
      <c r="AX12" s="13">
        <f>'Base de données indicateurs1'!AX26</f>
        <v>711991.97</v>
      </c>
      <c r="AY12" s="13">
        <f>'Base de données indicateurs1'!AY26</f>
        <v>4077000.45</v>
      </c>
      <c r="AZ12" s="13">
        <f>'Base de données indicateurs1'!AZ26</f>
        <v>917777.55</v>
      </c>
      <c r="BA12" s="13">
        <f>'Base de données indicateurs1'!BA26</f>
        <v>2696885.21</v>
      </c>
      <c r="BB12" s="13">
        <f>'Base de données indicateurs1'!BB26</f>
        <v>19106962.170000002</v>
      </c>
      <c r="BC12" s="13">
        <f>'Base de données indicateurs1'!BC26</f>
        <v>1451091.5499999998</v>
      </c>
      <c r="BD12" s="13">
        <f t="shared" si="0"/>
        <v>105858145.58999999</v>
      </c>
      <c r="BE12" s="13">
        <f t="shared" si="1"/>
        <v>29763341.760000002</v>
      </c>
      <c r="BF12" s="13">
        <f t="shared" si="2"/>
        <v>66074165.979999997</v>
      </c>
    </row>
    <row r="13" spans="1:58" x14ac:dyDescent="0.2">
      <c r="A13" s="158" t="s">
        <v>521</v>
      </c>
      <c r="B13" s="159" t="s">
        <v>222</v>
      </c>
      <c r="C13" s="158">
        <v>364</v>
      </c>
      <c r="D13" s="160">
        <f>'Base de données indicateurs1'!BD29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 t="shared" si="0"/>
        <v>0</v>
      </c>
      <c r="BE13" s="13">
        <f t="shared" si="1"/>
        <v>0</v>
      </c>
      <c r="BF13" s="13">
        <f t="shared" si="2"/>
        <v>0</v>
      </c>
    </row>
    <row r="14" spans="1:58" x14ac:dyDescent="0.2">
      <c r="A14" s="158" t="s">
        <v>112</v>
      </c>
      <c r="B14" s="159" t="s">
        <v>222</v>
      </c>
      <c r="C14" s="166">
        <v>365</v>
      </c>
      <c r="D14" s="160">
        <f>'Base de données indicateurs1'!BD30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13000</v>
      </c>
      <c r="AZ14" s="13">
        <f>'Base de données indicateurs1'!AZ30</f>
        <v>0</v>
      </c>
      <c r="BA14" s="13">
        <f>'Base de données indicateurs1'!BA30</f>
        <v>0</v>
      </c>
      <c r="BB14" s="13">
        <f>'Base de données indicateurs1'!BB30</f>
        <v>0</v>
      </c>
      <c r="BC14" s="13">
        <f>'Base de données indicateurs1'!BC30</f>
        <v>0</v>
      </c>
      <c r="BD14" s="13">
        <f t="shared" si="0"/>
        <v>8100</v>
      </c>
      <c r="BE14" s="13">
        <f t="shared" si="1"/>
        <v>0</v>
      </c>
      <c r="BF14" s="13">
        <f t="shared" si="2"/>
        <v>13000</v>
      </c>
    </row>
    <row r="15" spans="1:58" x14ac:dyDescent="0.2">
      <c r="A15" s="158" t="s">
        <v>522</v>
      </c>
      <c r="B15" s="159" t="s">
        <v>222</v>
      </c>
      <c r="C15" s="158">
        <v>366</v>
      </c>
      <c r="D15" s="160">
        <f>'Base de données indicateurs1'!BD31</f>
        <v>904263.03000000014</v>
      </c>
      <c r="E15" s="13">
        <f>'Base de données indicateurs1'!E31</f>
        <v>7905.29</v>
      </c>
      <c r="F15" s="13">
        <f>'Base de données indicateurs1'!F31</f>
        <v>0</v>
      </c>
      <c r="G15" s="13">
        <f>'Base de données indicateurs1'!G31</f>
        <v>0</v>
      </c>
      <c r="H15" s="13">
        <f>'Base de données indicateurs1'!H31</f>
        <v>2572.4499999999998</v>
      </c>
      <c r="I15" s="13">
        <f>'Base de données indicateurs1'!I31</f>
        <v>166396.6</v>
      </c>
      <c r="J15" s="13">
        <f>'Base de données indicateurs1'!J31</f>
        <v>0</v>
      </c>
      <c r="K15" s="13">
        <f>'Base de données indicateurs1'!K31</f>
        <v>14467.75</v>
      </c>
      <c r="L15" s="13">
        <f>'Base de données indicateurs1'!L31</f>
        <v>603909</v>
      </c>
      <c r="M15" s="13">
        <f>'Base de données indicateurs1'!M31</f>
        <v>10700</v>
      </c>
      <c r="N15" s="13">
        <f>'Base de données indicateurs1'!N31</f>
        <v>0</v>
      </c>
      <c r="O15" s="13">
        <f>'Base de données indicateurs1'!O31</f>
        <v>74430.89</v>
      </c>
      <c r="P15" s="13">
        <f>'Base de données indicateurs1'!P31</f>
        <v>3001.3</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607</v>
      </c>
      <c r="AP15" s="13">
        <f>'Base de données indicateurs1'!AP31</f>
        <v>567</v>
      </c>
      <c r="AQ15" s="13">
        <f>'Base de données indicateurs1'!AQ31</f>
        <v>0</v>
      </c>
      <c r="AR15" s="13">
        <f>'Base de données indicateurs1'!AR31</f>
        <v>422</v>
      </c>
      <c r="AS15" s="13">
        <f>'Base de données indicateurs1'!AS31</f>
        <v>0</v>
      </c>
      <c r="AT15" s="13">
        <f>'Base de données indicateurs1'!AT31</f>
        <v>338</v>
      </c>
      <c r="AU15" s="13">
        <f>'Base de données indicateurs1'!AU31</f>
        <v>0</v>
      </c>
      <c r="AV15" s="13">
        <f>'Base de données indicateurs1'!AV31</f>
        <v>633</v>
      </c>
      <c r="AW15" s="13">
        <f>'Base de données indicateurs1'!AW31</f>
        <v>442</v>
      </c>
      <c r="AX15" s="13">
        <f>'Base de données indicateurs1'!AX31</f>
        <v>311</v>
      </c>
      <c r="AY15" s="13">
        <f>'Base de données indicateurs1'!AY31</f>
        <v>1597</v>
      </c>
      <c r="AZ15" s="13">
        <f>'Base de données indicateurs1'!AZ31</f>
        <v>319</v>
      </c>
      <c r="BA15" s="13">
        <f>'Base de données indicateurs1'!BA31</f>
        <v>1083.4000000000001</v>
      </c>
      <c r="BB15" s="13">
        <f>'Base de données indicateurs1'!BB31</f>
        <v>0</v>
      </c>
      <c r="BC15" s="13">
        <f>'Base de données indicateurs1'!BC31</f>
        <v>590</v>
      </c>
      <c r="BD15" s="13">
        <f t="shared" si="0"/>
        <v>897353.63000000012</v>
      </c>
      <c r="BE15" s="13">
        <f t="shared" si="1"/>
        <v>0</v>
      </c>
      <c r="BF15" s="13">
        <f t="shared" si="2"/>
        <v>6909.4</v>
      </c>
    </row>
    <row r="16" spans="1:58" ht="15" thickBot="1" x14ac:dyDescent="0.25">
      <c r="A16" s="161"/>
      <c r="B16" s="162"/>
      <c r="C16" s="161"/>
      <c r="D16" s="163"/>
      <c r="BD16" s="13"/>
      <c r="BE16" s="13"/>
      <c r="BF16" s="13"/>
    </row>
    <row r="17" spans="1:58" ht="15.75" thickBot="1" x14ac:dyDescent="0.3">
      <c r="A17" s="7" t="s">
        <v>523</v>
      </c>
      <c r="B17" s="108"/>
      <c r="C17" s="7"/>
      <c r="D17" s="179">
        <f>SUM(D7:D8,D10,D12)-SUM(D9,D11,D13:D15)+D5</f>
        <v>441219640.81</v>
      </c>
      <c r="E17" s="173">
        <f>SUM(E7:E8,E10,E12)-SUM(E9,E11,E13:E15)+E5</f>
        <v>5329176.18</v>
      </c>
      <c r="F17" s="163">
        <f t="shared" ref="F17:BC17" si="3">SUM(F7:F8,F10,F12)-SUM(F9,F11,F13:F15)+F5</f>
        <v>1017191.3300000002</v>
      </c>
      <c r="G17" s="163">
        <f t="shared" si="3"/>
        <v>1530712.5499999998</v>
      </c>
      <c r="H17" s="163">
        <f t="shared" si="3"/>
        <v>1973560.57</v>
      </c>
      <c r="I17" s="163">
        <f t="shared" si="3"/>
        <v>21137442</v>
      </c>
      <c r="J17" s="163">
        <f t="shared" si="3"/>
        <v>14543202.26</v>
      </c>
      <c r="K17" s="163">
        <f t="shared" si="3"/>
        <v>11445972.930000002</v>
      </c>
      <c r="L17" s="163">
        <f t="shared" si="3"/>
        <v>124363634.59</v>
      </c>
      <c r="M17" s="163">
        <f t="shared" si="3"/>
        <v>9991304.8300000001</v>
      </c>
      <c r="N17" s="163">
        <f t="shared" si="3"/>
        <v>502696.04</v>
      </c>
      <c r="O17" s="163">
        <f t="shared" si="3"/>
        <v>32503899.099999998</v>
      </c>
      <c r="P17" s="163">
        <f t="shared" si="3"/>
        <v>1788513.9700000002</v>
      </c>
      <c r="Q17" s="163">
        <f t="shared" si="3"/>
        <v>411463.75999999989</v>
      </c>
      <c r="R17" s="163">
        <f t="shared" si="3"/>
        <v>2003237.4100000001</v>
      </c>
      <c r="S17" s="163">
        <f t="shared" si="3"/>
        <v>1313189.8600000001</v>
      </c>
      <c r="T17" s="163">
        <f t="shared" si="3"/>
        <v>3074641.62</v>
      </c>
      <c r="U17" s="163">
        <f t="shared" si="3"/>
        <v>1067369.8499999999</v>
      </c>
      <c r="V17" s="163">
        <f t="shared" si="3"/>
        <v>2210643.8699999996</v>
      </c>
      <c r="W17" s="163">
        <f t="shared" si="3"/>
        <v>12777225.449999999</v>
      </c>
      <c r="X17" s="163">
        <f t="shared" si="3"/>
        <v>1460889.1400000001</v>
      </c>
      <c r="Y17" s="163">
        <f t="shared" si="3"/>
        <v>6296293.2400000002</v>
      </c>
      <c r="Z17" s="163">
        <f t="shared" si="3"/>
        <v>13602040.180000002</v>
      </c>
      <c r="AA17" s="163">
        <f t="shared" si="3"/>
        <v>875469.57000000007</v>
      </c>
      <c r="AB17" s="163">
        <f t="shared" si="3"/>
        <v>2668082.23</v>
      </c>
      <c r="AC17" s="163">
        <f t="shared" si="3"/>
        <v>4071417.09</v>
      </c>
      <c r="AD17" s="163">
        <f t="shared" si="3"/>
        <v>2656723.7399999998</v>
      </c>
      <c r="AE17" s="163">
        <f t="shared" si="3"/>
        <v>3163077.0599999996</v>
      </c>
      <c r="AF17" s="163">
        <f t="shared" si="3"/>
        <v>10872195.459999999</v>
      </c>
      <c r="AG17" s="163">
        <f t="shared" si="3"/>
        <v>12102838.619999999</v>
      </c>
      <c r="AH17" s="163">
        <f t="shared" si="3"/>
        <v>1216684.4000000001</v>
      </c>
      <c r="AI17" s="163">
        <f t="shared" si="3"/>
        <v>1346200.57</v>
      </c>
      <c r="AJ17" s="163">
        <f t="shared" si="3"/>
        <v>7689244.4299999997</v>
      </c>
      <c r="AK17" s="163">
        <f t="shared" si="3"/>
        <v>4867834.5999999996</v>
      </c>
      <c r="AL17" s="163">
        <f t="shared" si="3"/>
        <v>6314543.6200000001</v>
      </c>
      <c r="AM17" s="163">
        <f t="shared" si="3"/>
        <v>628779.56999999995</v>
      </c>
      <c r="AN17" s="163">
        <f t="shared" si="3"/>
        <v>8923316.7000000011</v>
      </c>
      <c r="AO17" s="163">
        <f t="shared" si="3"/>
        <v>3994179.0799999996</v>
      </c>
      <c r="AP17" s="163">
        <f t="shared" si="3"/>
        <v>3423134.0599999996</v>
      </c>
      <c r="AQ17" s="163">
        <f t="shared" si="3"/>
        <v>7107295.330000001</v>
      </c>
      <c r="AR17" s="163">
        <f t="shared" si="3"/>
        <v>3486552</v>
      </c>
      <c r="AS17" s="163">
        <f t="shared" si="3"/>
        <v>4606589.0100000007</v>
      </c>
      <c r="AT17" s="163">
        <f t="shared" si="3"/>
        <v>1458365.17</v>
      </c>
      <c r="AU17" s="163">
        <f t="shared" si="3"/>
        <v>12215268.48</v>
      </c>
      <c r="AV17" s="163">
        <f t="shared" si="3"/>
        <v>3537016.7800000003</v>
      </c>
      <c r="AW17" s="163">
        <f t="shared" si="3"/>
        <v>1582317.29</v>
      </c>
      <c r="AX17" s="163">
        <f t="shared" si="3"/>
        <v>1287023.56</v>
      </c>
      <c r="AY17" s="163">
        <f t="shared" si="3"/>
        <v>7116094.5300000003</v>
      </c>
      <c r="AZ17" s="163">
        <f t="shared" si="3"/>
        <v>2038741.0700000003</v>
      </c>
      <c r="BA17" s="163">
        <f t="shared" si="3"/>
        <v>5582542.7100000009</v>
      </c>
      <c r="BB17" s="163">
        <f t="shared" si="3"/>
        <v>43246553.980000004</v>
      </c>
      <c r="BC17" s="163">
        <f t="shared" si="3"/>
        <v>2797259.37</v>
      </c>
      <c r="BD17" s="13">
        <f>SUM(E17:W17)</f>
        <v>248985078.16999999</v>
      </c>
      <c r="BE17" s="13">
        <f>SUM(X17:AI17)</f>
        <v>60331911.299999997</v>
      </c>
      <c r="BF17" s="13">
        <f>SUM(AJ17:BC17)</f>
        <v>131902651.34000002</v>
      </c>
    </row>
    <row r="18" spans="1:58" ht="15" thickBot="1" x14ac:dyDescent="0.25">
      <c r="B18" s="165"/>
      <c r="D18" s="13"/>
      <c r="BD18" s="13"/>
      <c r="BE18" s="13"/>
      <c r="BF18" s="13"/>
    </row>
    <row r="19" spans="1:58" ht="15.75" thickBot="1" x14ac:dyDescent="0.3">
      <c r="A19" s="7" t="s">
        <v>524</v>
      </c>
      <c r="B19" s="165"/>
      <c r="D19" s="164">
        <f>IF(D17&lt;&gt;0,D5/D17,"")*100</f>
        <v>13.802216702819942</v>
      </c>
      <c r="E19" s="173">
        <f>IF(E17&lt;&gt;0,E5/E17,"")*100</f>
        <v>33.249915186703397</v>
      </c>
      <c r="F19" s="163">
        <f t="shared" ref="F19:BF19" si="4">IF(F17&lt;&gt;0,F5/F17,"")*100</f>
        <v>6.4844388714952945</v>
      </c>
      <c r="G19" s="163">
        <f t="shared" si="4"/>
        <v>2.5776838375043054</v>
      </c>
      <c r="H19" s="163">
        <f t="shared" si="4"/>
        <v>2.1222353464429013</v>
      </c>
      <c r="I19" s="163">
        <f t="shared" si="4"/>
        <v>28.3565808956448</v>
      </c>
      <c r="J19" s="163">
        <f t="shared" si="4"/>
        <v>8.2109134470636178</v>
      </c>
      <c r="K19" s="163">
        <f t="shared" si="4"/>
        <v>13.397147008629172</v>
      </c>
      <c r="L19" s="163">
        <f t="shared" si="4"/>
        <v>11.845270716448269</v>
      </c>
      <c r="M19" s="163">
        <f t="shared" si="4"/>
        <v>22.598041881582748</v>
      </c>
      <c r="N19" s="163">
        <f t="shared" si="4"/>
        <v>8.2092848791886244</v>
      </c>
      <c r="O19" s="163">
        <f t="shared" si="4"/>
        <v>18.063015615255836</v>
      </c>
      <c r="P19" s="163">
        <f t="shared" si="4"/>
        <v>4.5424090257455463</v>
      </c>
      <c r="Q19" s="163">
        <f t="shared" si="4"/>
        <v>6.3483233614547263</v>
      </c>
      <c r="R19" s="163">
        <f t="shared" si="4"/>
        <v>28.540752441319473</v>
      </c>
      <c r="S19" s="163">
        <f t="shared" si="4"/>
        <v>1.4276039262136855</v>
      </c>
      <c r="T19" s="163">
        <f t="shared" si="4"/>
        <v>1.303428332567748</v>
      </c>
      <c r="U19" s="163">
        <f t="shared" si="4"/>
        <v>9.254445401469793</v>
      </c>
      <c r="V19" s="163">
        <f t="shared" si="4"/>
        <v>0.61179234627240076</v>
      </c>
      <c r="W19" s="163">
        <f t="shared" si="4"/>
        <v>14.028710356676067</v>
      </c>
      <c r="X19" s="163">
        <f t="shared" si="4"/>
        <v>5.8613482471366716</v>
      </c>
      <c r="Y19" s="163">
        <f t="shared" si="4"/>
        <v>6.7669529318173884</v>
      </c>
      <c r="Z19" s="163">
        <f t="shared" si="4"/>
        <v>11.480716343538987</v>
      </c>
      <c r="AA19" s="163">
        <f t="shared" si="4"/>
        <v>20.774959659648708</v>
      </c>
      <c r="AB19" s="163">
        <f t="shared" si="4"/>
        <v>3.9634498071673003</v>
      </c>
      <c r="AC19" s="163">
        <f t="shared" si="4"/>
        <v>19.650798538058893</v>
      </c>
      <c r="AD19" s="163">
        <f t="shared" si="4"/>
        <v>7.1234881199954954</v>
      </c>
      <c r="AE19" s="163">
        <f t="shared" si="4"/>
        <v>8.0924980689531498</v>
      </c>
      <c r="AF19" s="163">
        <f t="shared" si="4"/>
        <v>19.774576973986818</v>
      </c>
      <c r="AG19" s="163">
        <f t="shared" si="4"/>
        <v>7.7136518903695013</v>
      </c>
      <c r="AH19" s="163">
        <f t="shared" si="4"/>
        <v>20.165863061941121</v>
      </c>
      <c r="AI19" s="163">
        <f t="shared" si="4"/>
        <v>63.290572667043222</v>
      </c>
      <c r="AJ19" s="163">
        <f t="shared" si="4"/>
        <v>7.9929056176459738</v>
      </c>
      <c r="AK19" s="163">
        <f t="shared" si="4"/>
        <v>2.5375040474875625</v>
      </c>
      <c r="AL19" s="163">
        <f t="shared" si="4"/>
        <v>21.839620612201902</v>
      </c>
      <c r="AM19" s="163">
        <f t="shared" si="4"/>
        <v>4.7094087360376546</v>
      </c>
      <c r="AN19" s="163">
        <f t="shared" si="4"/>
        <v>14.193501615828563</v>
      </c>
      <c r="AO19" s="163">
        <f t="shared" si="4"/>
        <v>6.3611707164617171</v>
      </c>
      <c r="AP19" s="163">
        <f t="shared" si="4"/>
        <v>32.763293822036296</v>
      </c>
      <c r="AQ19" s="163">
        <f t="shared" si="4"/>
        <v>12.398439337119818</v>
      </c>
      <c r="AR19" s="163">
        <f t="shared" si="4"/>
        <v>10.311499728098132</v>
      </c>
      <c r="AS19" s="163">
        <f t="shared" si="4"/>
        <v>4.6314626622182642</v>
      </c>
      <c r="AT19" s="163">
        <f t="shared" si="4"/>
        <v>21.107206640158584</v>
      </c>
      <c r="AU19" s="163">
        <f t="shared" si="4"/>
        <v>20.674789540114961</v>
      </c>
      <c r="AV19" s="163">
        <f t="shared" si="4"/>
        <v>12.101105157889581</v>
      </c>
      <c r="AW19" s="163">
        <f t="shared" si="4"/>
        <v>7.9441747110024945</v>
      </c>
      <c r="AX19" s="163">
        <f t="shared" si="4"/>
        <v>4.341777550676694</v>
      </c>
      <c r="AY19" s="163">
        <f t="shared" si="4"/>
        <v>9.31222592963503</v>
      </c>
      <c r="AZ19" s="163">
        <f t="shared" si="4"/>
        <v>22.389642153037119</v>
      </c>
      <c r="BA19" s="163">
        <f t="shared" si="4"/>
        <v>7.081235568370599</v>
      </c>
      <c r="BB19" s="163">
        <f t="shared" si="4"/>
        <v>12.011573043258693</v>
      </c>
      <c r="BC19" s="163">
        <f t="shared" si="4"/>
        <v>18.989286645950173</v>
      </c>
      <c r="BD19" s="163">
        <f t="shared" si="4"/>
        <v>14.532949016845892</v>
      </c>
      <c r="BE19" s="163">
        <f t="shared" si="4"/>
        <v>12.907094789818139</v>
      </c>
      <c r="BF19" s="163">
        <f t="shared" si="4"/>
        <v>12.832281487936314</v>
      </c>
    </row>
    <row r="20" spans="1:58" x14ac:dyDescent="0.2">
      <c r="A20" s="169" t="s">
        <v>525</v>
      </c>
      <c r="B20" s="165"/>
      <c r="D20" s="13"/>
      <c r="BD20" s="13"/>
      <c r="BE20" s="13"/>
      <c r="BF20" s="13"/>
    </row>
    <row r="21" spans="1:58" x14ac:dyDescent="0.2">
      <c r="A21" s="169"/>
      <c r="B21" s="165"/>
      <c r="D21" s="13"/>
      <c r="BD21" s="13"/>
      <c r="BE21" s="13"/>
      <c r="BF21" s="13"/>
    </row>
    <row r="22" spans="1:58" x14ac:dyDescent="0.2">
      <c r="D22" s="13"/>
      <c r="BD22" s="13"/>
      <c r="BE22" s="13"/>
      <c r="BF22" s="13"/>
    </row>
    <row r="23" spans="1:58" ht="15" x14ac:dyDescent="0.25">
      <c r="A23" s="7" t="s">
        <v>526</v>
      </c>
      <c r="B23" s="154"/>
      <c r="C23" s="30" t="s">
        <v>490</v>
      </c>
      <c r="D23" s="180" t="s">
        <v>491</v>
      </c>
      <c r="BD23" s="13"/>
      <c r="BE23" s="13"/>
      <c r="BF23" s="13"/>
    </row>
    <row r="24" spans="1:58" x14ac:dyDescent="0.2">
      <c r="B24" s="154"/>
      <c r="D24" s="13"/>
      <c r="BD24" s="13"/>
      <c r="BE24" s="13"/>
      <c r="BF24" s="13"/>
    </row>
    <row r="25" spans="1:58" x14ac:dyDescent="0.2">
      <c r="A25" s="155" t="s">
        <v>278</v>
      </c>
      <c r="B25" s="156" t="s">
        <v>221</v>
      </c>
      <c r="C25" s="155">
        <v>340</v>
      </c>
      <c r="D25" s="157">
        <f>'Base de données indicateurs1'!BD23</f>
        <v>7784863.8900000006</v>
      </c>
      <c r="E25" s="13">
        <f>'Base de données indicateurs1'!E23</f>
        <v>156645.15</v>
      </c>
      <c r="F25" s="13">
        <f>'Base de données indicateurs1'!F23</f>
        <v>30817.39</v>
      </c>
      <c r="G25" s="13">
        <f>'Base de données indicateurs1'!G23</f>
        <v>53361.35</v>
      </c>
      <c r="H25" s="13">
        <f>'Base de données indicateurs1'!H23</f>
        <v>60888.62</v>
      </c>
      <c r="I25" s="13">
        <f>'Base de données indicateurs1'!I23</f>
        <v>296135.36</v>
      </c>
      <c r="J25" s="13">
        <f>'Base de données indicateurs1'!J23</f>
        <v>322862.84000000003</v>
      </c>
      <c r="K25" s="13">
        <f>'Base de données indicateurs1'!K23</f>
        <v>155775.39000000001</v>
      </c>
      <c r="L25" s="13">
        <f>'Base de données indicateurs1'!L23</f>
        <v>2529551.12</v>
      </c>
      <c r="M25" s="13">
        <f>'Base de données indicateurs1'!M23</f>
        <v>56437.21</v>
      </c>
      <c r="N25" s="13">
        <f>'Base de données indicateurs1'!N23</f>
        <v>6710.34</v>
      </c>
      <c r="O25" s="13">
        <f>'Base de données indicateurs1'!O23</f>
        <v>450297.84</v>
      </c>
      <c r="P25" s="13">
        <f>'Base de données indicateurs1'!P23</f>
        <v>38594.86</v>
      </c>
      <c r="Q25" s="13">
        <f>'Base de données indicateurs1'!Q23</f>
        <v>8899.5</v>
      </c>
      <c r="R25" s="13">
        <f>'Base de données indicateurs1'!R23</f>
        <v>21426.75</v>
      </c>
      <c r="S25" s="13">
        <f>'Base de données indicateurs1'!S23</f>
        <v>66129.070000000007</v>
      </c>
      <c r="T25" s="13">
        <f>'Base de données indicateurs1'!T23</f>
        <v>41844.199999999997</v>
      </c>
      <c r="U25" s="13">
        <f>'Base de données indicateurs1'!U23</f>
        <v>16995.22</v>
      </c>
      <c r="V25" s="13">
        <f>'Base de données indicateurs1'!V23</f>
        <v>34228.76</v>
      </c>
      <c r="W25" s="13">
        <f>'Base de données indicateurs1'!W23</f>
        <v>196047.92</v>
      </c>
      <c r="X25" s="13">
        <f>'Base de données indicateurs1'!X23</f>
        <v>4762.57</v>
      </c>
      <c r="Y25" s="13">
        <f>'Base de données indicateurs1'!Y23</f>
        <v>135578.04999999999</v>
      </c>
      <c r="Z25" s="13">
        <f>'Base de données indicateurs1'!Z23</f>
        <v>9613.4</v>
      </c>
      <c r="AA25" s="13">
        <f>'Base de données indicateurs1'!AA23</f>
        <v>4805.45</v>
      </c>
      <c r="AB25" s="13">
        <f>'Base de données indicateurs1'!AB23</f>
        <v>62402.87</v>
      </c>
      <c r="AC25" s="13">
        <f>'Base de données indicateurs1'!AC23</f>
        <v>69810.149999999994</v>
      </c>
      <c r="AD25" s="13">
        <f>'Base de données indicateurs1'!AD23</f>
        <v>45431.34</v>
      </c>
      <c r="AE25" s="13">
        <f>'Base de données indicateurs1'!AE23</f>
        <v>7765.71</v>
      </c>
      <c r="AF25" s="13">
        <f>'Base de données indicateurs1'!AF23</f>
        <v>42075.34</v>
      </c>
      <c r="AG25" s="13">
        <f>'Base de données indicateurs1'!AG23</f>
        <v>139010.32999999999</v>
      </c>
      <c r="AH25" s="13">
        <f>'Base de données indicateurs1'!AH23</f>
        <v>18355.89</v>
      </c>
      <c r="AI25" s="13">
        <f>'Base de données indicateurs1'!AI23</f>
        <v>4428.46</v>
      </c>
      <c r="AJ25" s="13">
        <f>'Base de données indicateurs1'!AJ23</f>
        <v>178839.76</v>
      </c>
      <c r="AK25" s="13">
        <f>'Base de données indicateurs1'!AK23</f>
        <v>124437.21</v>
      </c>
      <c r="AL25" s="13">
        <f>'Base de données indicateurs1'!AL23</f>
        <v>133165.51999999999</v>
      </c>
      <c r="AM25" s="13">
        <f>'Base de données indicateurs1'!AM23</f>
        <v>19222.490000000002</v>
      </c>
      <c r="AN25" s="13">
        <f>'Base de données indicateurs1'!AN23</f>
        <v>89524.44</v>
      </c>
      <c r="AO25" s="13">
        <f>'Base de données indicateurs1'!AO23</f>
        <v>86450.95</v>
      </c>
      <c r="AP25" s="13">
        <f>'Base de données indicateurs1'!AP23</f>
        <v>79824.19</v>
      </c>
      <c r="AQ25" s="13">
        <f>'Base de données indicateurs1'!AQ23</f>
        <v>89935.81</v>
      </c>
      <c r="AR25" s="13">
        <f>'Base de données indicateurs1'!AR23</f>
        <v>65076.03</v>
      </c>
      <c r="AS25" s="13">
        <f>'Base de données indicateurs1'!AS23</f>
        <v>104750.79</v>
      </c>
      <c r="AT25" s="13">
        <f>'Base de données indicateurs1'!AT23</f>
        <v>21291.29</v>
      </c>
      <c r="AU25" s="13">
        <f>'Base de données indicateurs1'!AU23</f>
        <v>221196.53</v>
      </c>
      <c r="AV25" s="13">
        <f>'Base de données indicateurs1'!AV23</f>
        <v>61086.18</v>
      </c>
      <c r="AW25" s="13">
        <f>'Base de données indicateurs1'!AW23</f>
        <v>7983.25</v>
      </c>
      <c r="AX25" s="13">
        <f>'Base de données indicateurs1'!AX23</f>
        <v>16170.03</v>
      </c>
      <c r="AY25" s="13">
        <f>'Base de données indicateurs1'!AY23</f>
        <v>301713.03999999998</v>
      </c>
      <c r="AZ25" s="13">
        <f>'Base de données indicateurs1'!AZ23</f>
        <v>46856.61</v>
      </c>
      <c r="BA25" s="13">
        <f>'Base de données indicateurs1'!BA23</f>
        <v>121337.51</v>
      </c>
      <c r="BB25" s="13">
        <f>'Base de données indicateurs1'!BB23</f>
        <v>882629.73</v>
      </c>
      <c r="BC25" s="13">
        <f>'Base de données indicateurs1'!BC23</f>
        <v>45684.08</v>
      </c>
      <c r="BD25" s="13">
        <f t="shared" ref="BD25:BD30" si="5">SUM(E25:W25)</f>
        <v>4543648.8899999997</v>
      </c>
      <c r="BE25" s="13">
        <f t="shared" ref="BE25:BE30" si="6">SUM(X25:AI25)</f>
        <v>544039.55999999994</v>
      </c>
      <c r="BF25" s="13">
        <f t="shared" ref="BF25:BF30" si="7">SUM(AJ25:BC25)</f>
        <v>2697175.4400000004</v>
      </c>
    </row>
    <row r="26" spans="1:58" x14ac:dyDescent="0.2">
      <c r="A26" s="158" t="s">
        <v>277</v>
      </c>
      <c r="B26" s="159" t="s">
        <v>222</v>
      </c>
      <c r="C26" s="158">
        <v>440</v>
      </c>
      <c r="D26" s="160">
        <f>'Base de données indicateurs1'!BD41</f>
        <v>3615721.9499999988</v>
      </c>
      <c r="E26" s="13">
        <f>'Base de données indicateurs1'!E41</f>
        <v>41590.01</v>
      </c>
      <c r="F26" s="13">
        <f>'Base de données indicateurs1'!F41</f>
        <v>5897.59</v>
      </c>
      <c r="G26" s="13">
        <f>'Base de données indicateurs1'!G41</f>
        <v>16077.69</v>
      </c>
      <c r="H26" s="13">
        <f>'Base de données indicateurs1'!H41</f>
        <v>7211.04</v>
      </c>
      <c r="I26" s="13">
        <f>'Base de données indicateurs1'!I41</f>
        <v>118201.59</v>
      </c>
      <c r="J26" s="13">
        <f>'Base de données indicateurs1'!J41</f>
        <v>94570.16</v>
      </c>
      <c r="K26" s="13">
        <f>'Base de données indicateurs1'!K41</f>
        <v>61629.97</v>
      </c>
      <c r="L26" s="13">
        <f>'Base de données indicateurs1'!L41</f>
        <v>1060688.7</v>
      </c>
      <c r="M26" s="13">
        <f>'Base de données indicateurs1'!M41</f>
        <v>41934.67</v>
      </c>
      <c r="N26" s="13">
        <f>'Base de données indicateurs1'!N41</f>
        <v>1151.8900000000001</v>
      </c>
      <c r="O26" s="13">
        <f>'Base de données indicateurs1'!O41</f>
        <v>187957.74</v>
      </c>
      <c r="P26" s="13">
        <f>'Base de données indicateurs1'!P41</f>
        <v>8150.67</v>
      </c>
      <c r="Q26" s="13">
        <f>'Base de données indicateurs1'!Q41</f>
        <v>2227.9899999999998</v>
      </c>
      <c r="R26" s="13">
        <f>'Base de données indicateurs1'!R41</f>
        <v>13921.52</v>
      </c>
      <c r="S26" s="13">
        <f>'Base de données indicateurs1'!S41</f>
        <v>9163.36</v>
      </c>
      <c r="T26" s="13">
        <f>'Base de données indicateurs1'!T41</f>
        <v>30783.5</v>
      </c>
      <c r="U26" s="13">
        <f>'Base de données indicateurs1'!U41</f>
        <v>6146.02</v>
      </c>
      <c r="V26" s="13">
        <f>'Base de données indicateurs1'!V41</f>
        <v>17282.080000000002</v>
      </c>
      <c r="W26" s="13">
        <f>'Base de données indicateurs1'!W41</f>
        <v>88393.21</v>
      </c>
      <c r="X26" s="13">
        <f>'Base de données indicateurs1'!X41</f>
        <v>9968.2099999999991</v>
      </c>
      <c r="Y26" s="13">
        <f>'Base de données indicateurs1'!Y41</f>
        <v>61988.41</v>
      </c>
      <c r="Z26" s="13">
        <f>'Base de données indicateurs1'!Z41</f>
        <v>163256.82</v>
      </c>
      <c r="AA26" s="13">
        <f>'Base de données indicateurs1'!AA41</f>
        <v>4939.1000000000004</v>
      </c>
      <c r="AB26" s="13">
        <f>'Base de données indicateurs1'!AB41</f>
        <v>17859.07</v>
      </c>
      <c r="AC26" s="13">
        <f>'Base de données indicateurs1'!AC41</f>
        <v>12477.43</v>
      </c>
      <c r="AD26" s="13">
        <f>'Base de données indicateurs1'!AD41</f>
        <v>20898.86</v>
      </c>
      <c r="AE26" s="13">
        <f>'Base de données indicateurs1'!AE41</f>
        <v>12743.48</v>
      </c>
      <c r="AF26" s="13">
        <f>'Base de données indicateurs1'!AF41</f>
        <v>53241.17</v>
      </c>
      <c r="AG26" s="13">
        <f>'Base de données indicateurs1'!AG41</f>
        <v>93461.4</v>
      </c>
      <c r="AH26" s="13">
        <f>'Base de données indicateurs1'!AH41</f>
        <v>12970.67</v>
      </c>
      <c r="AI26" s="13">
        <f>'Base de données indicateurs1'!AI41</f>
        <v>2819.68</v>
      </c>
      <c r="AJ26" s="13">
        <f>'Base de données indicateurs1'!AJ41</f>
        <v>84068.94</v>
      </c>
      <c r="AK26" s="13">
        <f>'Base de données indicateurs1'!AK41</f>
        <v>120458.13</v>
      </c>
      <c r="AL26" s="13">
        <f>'Base de données indicateurs1'!AL41</f>
        <v>48407.38</v>
      </c>
      <c r="AM26" s="13">
        <f>'Base de données indicateurs1'!AM41</f>
        <v>8035.44</v>
      </c>
      <c r="AN26" s="13">
        <f>'Base de données indicateurs1'!AN41</f>
        <v>53601.1</v>
      </c>
      <c r="AO26" s="13">
        <f>'Base de données indicateurs1'!AO41</f>
        <v>44757.07</v>
      </c>
      <c r="AP26" s="13">
        <f>'Base de données indicateurs1'!AP41</f>
        <v>29251.75</v>
      </c>
      <c r="AQ26" s="13">
        <f>'Base de données indicateurs1'!AQ41</f>
        <v>36630.949999999997</v>
      </c>
      <c r="AR26" s="13">
        <f>'Base de données indicateurs1'!AR41</f>
        <v>37519.21</v>
      </c>
      <c r="AS26" s="13">
        <f>'Base de données indicateurs1'!AS41</f>
        <v>54043.43</v>
      </c>
      <c r="AT26" s="13">
        <f>'Base de données indicateurs1'!AT41</f>
        <v>9061.76</v>
      </c>
      <c r="AU26" s="13">
        <f>'Base de données indicateurs1'!AU41</f>
        <v>93439.88</v>
      </c>
      <c r="AV26" s="13">
        <f>'Base de données indicateurs1'!AV41</f>
        <v>20608.8</v>
      </c>
      <c r="AW26" s="13">
        <f>'Base de données indicateurs1'!AW41</f>
        <v>15776.19</v>
      </c>
      <c r="AX26" s="13">
        <f>'Base de données indicateurs1'!AX41</f>
        <v>12253.09</v>
      </c>
      <c r="AY26" s="13">
        <f>'Base de données indicateurs1'!AY41</f>
        <v>76069.14</v>
      </c>
      <c r="AZ26" s="13">
        <f>'Base de données indicateurs1'!AZ41</f>
        <v>25432.080000000002</v>
      </c>
      <c r="BA26" s="13">
        <f>'Base de données indicateurs1'!BA41</f>
        <v>54826.23</v>
      </c>
      <c r="BB26" s="13">
        <f>'Base de données indicateurs1'!BB41</f>
        <v>443493.63</v>
      </c>
      <c r="BC26" s="13">
        <f>'Base de données indicateurs1'!BC41</f>
        <v>68384.05</v>
      </c>
      <c r="BD26" s="13">
        <f t="shared" si="5"/>
        <v>1812979.4</v>
      </c>
      <c r="BE26" s="13">
        <f t="shared" si="6"/>
        <v>466624.29999999993</v>
      </c>
      <c r="BF26" s="13">
        <f t="shared" si="7"/>
        <v>1336118.25</v>
      </c>
    </row>
    <row r="27" spans="1:58" x14ac:dyDescent="0.2">
      <c r="A27" s="158" t="s">
        <v>527</v>
      </c>
      <c r="B27" s="159" t="s">
        <v>221</v>
      </c>
      <c r="C27" s="158">
        <v>33</v>
      </c>
      <c r="D27" s="160">
        <f>'Base de données indicateurs1'!BD21</f>
        <v>24783612.750000004</v>
      </c>
      <c r="E27" s="13">
        <f>'Base de données indicateurs1'!E21</f>
        <v>271969.69</v>
      </c>
      <c r="F27" s="13">
        <f>'Base de données indicateurs1'!F21</f>
        <v>89135</v>
      </c>
      <c r="G27" s="13">
        <f>'Base de données indicateurs1'!G21</f>
        <v>78515.149999999994</v>
      </c>
      <c r="H27" s="13">
        <f>'Base de données indicateurs1'!H21</f>
        <v>135852.9</v>
      </c>
      <c r="I27" s="13">
        <f>'Base de données indicateurs1'!I21</f>
        <v>1007048.9</v>
      </c>
      <c r="J27" s="13">
        <f>'Base de données indicateurs1'!J21</f>
        <v>1027120.2799999999</v>
      </c>
      <c r="K27" s="13">
        <f>'Base de données indicateurs1'!K21</f>
        <v>584488.29999999993</v>
      </c>
      <c r="L27" s="13">
        <f>'Base de données indicateurs1'!L21</f>
        <v>6377739.1200000001</v>
      </c>
      <c r="M27" s="13">
        <f>'Base de données indicateurs1'!M21</f>
        <v>408424.05</v>
      </c>
      <c r="N27" s="13">
        <f>'Base de données indicateurs1'!N21</f>
        <v>61045.22</v>
      </c>
      <c r="O27" s="13">
        <f>'Base de données indicateurs1'!O21</f>
        <v>1500455.25</v>
      </c>
      <c r="P27" s="13">
        <f>'Base de données indicateurs1'!P21</f>
        <v>128942.3</v>
      </c>
      <c r="Q27" s="13">
        <f>'Base de données indicateurs1'!Q21</f>
        <v>15734</v>
      </c>
      <c r="R27" s="13">
        <f>'Base de données indicateurs1'!R21</f>
        <v>66919.41</v>
      </c>
      <c r="S27" s="13">
        <f>'Base de données indicateurs1'!S21</f>
        <v>76090.75</v>
      </c>
      <c r="T27" s="13">
        <f>'Base de données indicateurs1'!T21</f>
        <v>141025.94</v>
      </c>
      <c r="U27" s="13">
        <f>'Base de données indicateurs1'!U21</f>
        <v>40503.31</v>
      </c>
      <c r="V27" s="13">
        <f>'Base de données indicateurs1'!V21</f>
        <v>131731.53</v>
      </c>
      <c r="W27" s="13">
        <f>'Base de données indicateurs1'!W21</f>
        <v>967493.06</v>
      </c>
      <c r="X27" s="13">
        <f>'Base de données indicateurs1'!X21</f>
        <v>82974</v>
      </c>
      <c r="Y27" s="13">
        <f>'Base de données indicateurs1'!Y21</f>
        <v>313279.90000000002</v>
      </c>
      <c r="Z27" s="13">
        <f>'Base de données indicateurs1'!Z21</f>
        <v>511059.05</v>
      </c>
      <c r="AA27" s="13">
        <f>'Base de données indicateurs1'!AA21</f>
        <v>13768.27</v>
      </c>
      <c r="AB27" s="13">
        <f>'Base de données indicateurs1'!AB21</f>
        <v>101265.76999999999</v>
      </c>
      <c r="AC27" s="13">
        <f>'Base de données indicateurs1'!AC21</f>
        <v>343843.12</v>
      </c>
      <c r="AD27" s="13">
        <f>'Base de données indicateurs1'!AD21</f>
        <v>163879</v>
      </c>
      <c r="AE27" s="13">
        <f>'Base de données indicateurs1'!AE21</f>
        <v>106426.61</v>
      </c>
      <c r="AF27" s="13">
        <f>'Base de données indicateurs1'!AF21</f>
        <v>510622.45</v>
      </c>
      <c r="AG27" s="13">
        <f>'Base de données indicateurs1'!AG21</f>
        <v>851938.85</v>
      </c>
      <c r="AH27" s="13">
        <f>'Base de données indicateurs1'!AH21</f>
        <v>71808.899999999994</v>
      </c>
      <c r="AI27" s="13">
        <f>'Base de données indicateurs1'!AI21</f>
        <v>15168.64</v>
      </c>
      <c r="AJ27" s="13">
        <f>'Base de données indicateurs1'!AJ21</f>
        <v>438356.4</v>
      </c>
      <c r="AK27" s="13">
        <f>'Base de données indicateurs1'!AK21</f>
        <v>353864.8</v>
      </c>
      <c r="AL27" s="13">
        <f>'Base de données indicateurs1'!AL21</f>
        <v>303565</v>
      </c>
      <c r="AM27" s="13">
        <f>'Base de données indicateurs1'!AM21</f>
        <v>42916</v>
      </c>
      <c r="AN27" s="13">
        <f>'Base de données indicateurs1'!AN21</f>
        <v>643825.06999999995</v>
      </c>
      <c r="AO27" s="13">
        <f>'Base de données indicateurs1'!AO21</f>
        <v>109400</v>
      </c>
      <c r="AP27" s="13">
        <f>'Base de données indicateurs1'!AP21</f>
        <v>446741.61</v>
      </c>
      <c r="AQ27" s="13">
        <f>'Base de données indicateurs1'!AQ21</f>
        <v>211824.45</v>
      </c>
      <c r="AR27" s="13">
        <f>'Base de données indicateurs1'!AR21</f>
        <v>155650</v>
      </c>
      <c r="AS27" s="13">
        <f>'Base de données indicateurs1'!AS21</f>
        <v>254126</v>
      </c>
      <c r="AT27" s="13">
        <f>'Base de données indicateurs1'!AT21</f>
        <v>70603.75</v>
      </c>
      <c r="AU27" s="13">
        <f>'Base de données indicateurs1'!AU21</f>
        <v>748621.20000000007</v>
      </c>
      <c r="AV27" s="13">
        <f>'Base de données indicateurs1'!AV21</f>
        <v>118961.96</v>
      </c>
      <c r="AW27" s="13">
        <f>'Base de données indicateurs1'!AW21</f>
        <v>78732.3</v>
      </c>
      <c r="AX27" s="13">
        <f>'Base de données indicateurs1'!AX21</f>
        <v>172965</v>
      </c>
      <c r="AY27" s="13">
        <f>'Base de données indicateurs1'!AY21</f>
        <v>576965.05000000005</v>
      </c>
      <c r="AZ27" s="13">
        <f>'Base de données indicateurs1'!AZ21</f>
        <v>99864.95</v>
      </c>
      <c r="BA27" s="13">
        <f>'Base de données indicateurs1'!BA21</f>
        <v>435547.35000000003</v>
      </c>
      <c r="BB27" s="13">
        <f>'Base de données indicateurs1'!BB21</f>
        <v>3232513.1399999997</v>
      </c>
      <c r="BC27" s="13">
        <f>'Base de données indicateurs1'!BC21</f>
        <v>92300</v>
      </c>
      <c r="BD27" s="13">
        <f t="shared" si="5"/>
        <v>13110234.160000002</v>
      </c>
      <c r="BE27" s="13">
        <f t="shared" si="6"/>
        <v>3086034.56</v>
      </c>
      <c r="BF27" s="13">
        <f t="shared" si="7"/>
        <v>8587344.0299999993</v>
      </c>
    </row>
    <row r="28" spans="1:58" x14ac:dyDescent="0.2">
      <c r="A28" s="158" t="s">
        <v>521</v>
      </c>
      <c r="B28" s="159" t="s">
        <v>221</v>
      </c>
      <c r="C28" s="158">
        <v>364</v>
      </c>
      <c r="D28" s="160">
        <f>'Base de données indicateurs1'!BD29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 t="shared" si="5"/>
        <v>0</v>
      </c>
      <c r="BE28" s="13">
        <f t="shared" si="6"/>
        <v>0</v>
      </c>
      <c r="BF28" s="13">
        <f t="shared" si="7"/>
        <v>0</v>
      </c>
    </row>
    <row r="29" spans="1:58" x14ac:dyDescent="0.2">
      <c r="A29" s="158" t="s">
        <v>112</v>
      </c>
      <c r="B29" s="159" t="s">
        <v>221</v>
      </c>
      <c r="C29" s="158">
        <v>365</v>
      </c>
      <c r="D29" s="160">
        <f>'Base de données indicateurs1'!BD30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13000</v>
      </c>
      <c r="AZ29" s="13">
        <f>'Base de données indicateurs1'!AZ30</f>
        <v>0</v>
      </c>
      <c r="BA29" s="13">
        <f>'Base de données indicateurs1'!BA30</f>
        <v>0</v>
      </c>
      <c r="BB29" s="13">
        <f>'Base de données indicateurs1'!BB30</f>
        <v>0</v>
      </c>
      <c r="BC29" s="13">
        <f>'Base de données indicateurs1'!BC30</f>
        <v>0</v>
      </c>
      <c r="BD29" s="13">
        <f t="shared" si="5"/>
        <v>8100</v>
      </c>
      <c r="BE29" s="13">
        <f t="shared" si="6"/>
        <v>0</v>
      </c>
      <c r="BF29" s="13">
        <f t="shared" si="7"/>
        <v>13000</v>
      </c>
    </row>
    <row r="30" spans="1:58" x14ac:dyDescent="0.2">
      <c r="A30" s="158" t="s">
        <v>528</v>
      </c>
      <c r="B30" s="159" t="s">
        <v>221</v>
      </c>
      <c r="C30" s="158">
        <v>366</v>
      </c>
      <c r="D30" s="160">
        <f>'Base de données indicateurs1'!BD31</f>
        <v>904263.03000000014</v>
      </c>
      <c r="E30" s="13">
        <f>'Base de données indicateurs1'!E31</f>
        <v>7905.29</v>
      </c>
      <c r="F30" s="13">
        <f>'Base de données indicateurs1'!F31</f>
        <v>0</v>
      </c>
      <c r="G30" s="13">
        <f>'Base de données indicateurs1'!G31</f>
        <v>0</v>
      </c>
      <c r="H30" s="13">
        <f>'Base de données indicateurs1'!H31</f>
        <v>2572.4499999999998</v>
      </c>
      <c r="I30" s="13">
        <f>'Base de données indicateurs1'!I31</f>
        <v>166396.6</v>
      </c>
      <c r="J30" s="13">
        <f>'Base de données indicateurs1'!J31</f>
        <v>0</v>
      </c>
      <c r="K30" s="13">
        <f>'Base de données indicateurs1'!K31</f>
        <v>14467.75</v>
      </c>
      <c r="L30" s="13">
        <f>'Base de données indicateurs1'!L31</f>
        <v>603909</v>
      </c>
      <c r="M30" s="13">
        <f>'Base de données indicateurs1'!M31</f>
        <v>10700</v>
      </c>
      <c r="N30" s="13">
        <f>'Base de données indicateurs1'!N31</f>
        <v>0</v>
      </c>
      <c r="O30" s="13">
        <f>'Base de données indicateurs1'!O31</f>
        <v>74430.89</v>
      </c>
      <c r="P30" s="13">
        <f>'Base de données indicateurs1'!P31</f>
        <v>3001.3</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607</v>
      </c>
      <c r="AP30" s="13">
        <f>'Base de données indicateurs1'!AP31</f>
        <v>567</v>
      </c>
      <c r="AQ30" s="13">
        <f>'Base de données indicateurs1'!AQ31</f>
        <v>0</v>
      </c>
      <c r="AR30" s="13">
        <f>'Base de données indicateurs1'!AR31</f>
        <v>422</v>
      </c>
      <c r="AS30" s="13">
        <f>'Base de données indicateurs1'!AS31</f>
        <v>0</v>
      </c>
      <c r="AT30" s="13">
        <f>'Base de données indicateurs1'!AT31</f>
        <v>338</v>
      </c>
      <c r="AU30" s="13">
        <f>'Base de données indicateurs1'!AU31</f>
        <v>0</v>
      </c>
      <c r="AV30" s="13">
        <f>'Base de données indicateurs1'!AV31</f>
        <v>633</v>
      </c>
      <c r="AW30" s="13">
        <f>'Base de données indicateurs1'!AW31</f>
        <v>442</v>
      </c>
      <c r="AX30" s="13">
        <f>'Base de données indicateurs1'!AX31</f>
        <v>311</v>
      </c>
      <c r="AY30" s="13">
        <f>'Base de données indicateurs1'!AY31</f>
        <v>1597</v>
      </c>
      <c r="AZ30" s="13">
        <f>'Base de données indicateurs1'!AZ31</f>
        <v>319</v>
      </c>
      <c r="BA30" s="13">
        <f>'Base de données indicateurs1'!BA31</f>
        <v>1083.4000000000001</v>
      </c>
      <c r="BB30" s="13">
        <f>'Base de données indicateurs1'!BB31</f>
        <v>0</v>
      </c>
      <c r="BC30" s="13">
        <f>'Base de données indicateurs1'!BC31</f>
        <v>590</v>
      </c>
      <c r="BD30" s="13">
        <f t="shared" si="5"/>
        <v>897353.63000000012</v>
      </c>
      <c r="BE30" s="13">
        <f t="shared" si="6"/>
        <v>0</v>
      </c>
      <c r="BF30" s="13">
        <f t="shared" si="7"/>
        <v>6909.4</v>
      </c>
    </row>
    <row r="31" spans="1:58" ht="15" thickBot="1" x14ac:dyDescent="0.25">
      <c r="A31" s="161"/>
      <c r="B31" s="162"/>
      <c r="C31" s="161"/>
      <c r="D31" s="163"/>
      <c r="BD31" s="13"/>
      <c r="BE31" s="13"/>
      <c r="BF31" s="13"/>
    </row>
    <row r="32" spans="1:58" ht="15.75" thickBot="1" x14ac:dyDescent="0.3">
      <c r="A32" s="7" t="s">
        <v>529</v>
      </c>
      <c r="B32" s="108"/>
      <c r="C32" s="7"/>
      <c r="D32" s="164">
        <f>SUM(D25,D27:D30)-D26</f>
        <v>29878117.720000006</v>
      </c>
      <c r="E32" s="173">
        <f>SUM(E25,E27:E30)-E26</f>
        <v>394930.11999999994</v>
      </c>
      <c r="F32" s="163">
        <f t="shared" ref="F32:BC32" si="8">SUM(F25,F27:F30)-F26</f>
        <v>114054.8</v>
      </c>
      <c r="G32" s="163">
        <f t="shared" si="8"/>
        <v>115798.81</v>
      </c>
      <c r="H32" s="163">
        <f t="shared" si="8"/>
        <v>192102.93</v>
      </c>
      <c r="I32" s="163">
        <f t="shared" si="8"/>
        <v>1351379.27</v>
      </c>
      <c r="J32" s="163">
        <f t="shared" si="8"/>
        <v>1255412.96</v>
      </c>
      <c r="K32" s="163">
        <f t="shared" si="8"/>
        <v>693101.47</v>
      </c>
      <c r="L32" s="163">
        <f t="shared" si="8"/>
        <v>8450510.540000001</v>
      </c>
      <c r="M32" s="163">
        <f t="shared" si="8"/>
        <v>433626.59</v>
      </c>
      <c r="N32" s="163">
        <f t="shared" si="8"/>
        <v>66603.67</v>
      </c>
      <c r="O32" s="163">
        <f t="shared" si="8"/>
        <v>1837226.24</v>
      </c>
      <c r="P32" s="163">
        <f t="shared" si="8"/>
        <v>162387.78999999998</v>
      </c>
      <c r="Q32" s="163">
        <f t="shared" si="8"/>
        <v>22405.510000000002</v>
      </c>
      <c r="R32" s="163">
        <f t="shared" si="8"/>
        <v>74424.639999999999</v>
      </c>
      <c r="S32" s="163">
        <f t="shared" si="8"/>
        <v>133056.46000000002</v>
      </c>
      <c r="T32" s="163">
        <f t="shared" si="8"/>
        <v>152086.64000000001</v>
      </c>
      <c r="U32" s="163">
        <f t="shared" si="8"/>
        <v>60120.06</v>
      </c>
      <c r="V32" s="163">
        <f t="shared" si="8"/>
        <v>148678.21000000002</v>
      </c>
      <c r="W32" s="163">
        <f t="shared" si="8"/>
        <v>1088450.57</v>
      </c>
      <c r="X32" s="163">
        <f t="shared" si="8"/>
        <v>77768.360000000015</v>
      </c>
      <c r="Y32" s="163">
        <f t="shared" si="8"/>
        <v>386869.54000000004</v>
      </c>
      <c r="Z32" s="163">
        <f t="shared" si="8"/>
        <v>357415.63</v>
      </c>
      <c r="AA32" s="163">
        <f t="shared" si="8"/>
        <v>13634.62</v>
      </c>
      <c r="AB32" s="163">
        <f t="shared" si="8"/>
        <v>145809.56999999998</v>
      </c>
      <c r="AC32" s="163">
        <f t="shared" si="8"/>
        <v>401175.84</v>
      </c>
      <c r="AD32" s="163">
        <f t="shared" si="8"/>
        <v>188411.47999999998</v>
      </c>
      <c r="AE32" s="163">
        <f t="shared" si="8"/>
        <v>101448.84000000001</v>
      </c>
      <c r="AF32" s="163">
        <f t="shared" si="8"/>
        <v>499456.62000000005</v>
      </c>
      <c r="AG32" s="163">
        <f t="shared" si="8"/>
        <v>897487.77999999991</v>
      </c>
      <c r="AH32" s="163">
        <f t="shared" si="8"/>
        <v>77194.12</v>
      </c>
      <c r="AI32" s="163">
        <f t="shared" si="8"/>
        <v>16777.419999999998</v>
      </c>
      <c r="AJ32" s="163">
        <f t="shared" si="8"/>
        <v>533127.22</v>
      </c>
      <c r="AK32" s="163">
        <f t="shared" si="8"/>
        <v>357843.88</v>
      </c>
      <c r="AL32" s="163">
        <f t="shared" si="8"/>
        <v>388323.14</v>
      </c>
      <c r="AM32" s="163">
        <f t="shared" si="8"/>
        <v>54103.05</v>
      </c>
      <c r="AN32" s="163">
        <f t="shared" si="8"/>
        <v>679748.41</v>
      </c>
      <c r="AO32" s="163">
        <f t="shared" si="8"/>
        <v>151700.88</v>
      </c>
      <c r="AP32" s="163">
        <f t="shared" si="8"/>
        <v>497881.05000000005</v>
      </c>
      <c r="AQ32" s="163">
        <f t="shared" si="8"/>
        <v>265129.31</v>
      </c>
      <c r="AR32" s="163">
        <f t="shared" si="8"/>
        <v>183628.82</v>
      </c>
      <c r="AS32" s="163">
        <f t="shared" si="8"/>
        <v>304833.36</v>
      </c>
      <c r="AT32" s="163">
        <f t="shared" si="8"/>
        <v>83171.280000000013</v>
      </c>
      <c r="AU32" s="163">
        <f t="shared" si="8"/>
        <v>876377.85000000009</v>
      </c>
      <c r="AV32" s="163">
        <f t="shared" si="8"/>
        <v>160072.34000000003</v>
      </c>
      <c r="AW32" s="163">
        <f t="shared" si="8"/>
        <v>71381.36</v>
      </c>
      <c r="AX32" s="163">
        <f t="shared" si="8"/>
        <v>177192.94</v>
      </c>
      <c r="AY32" s="163">
        <f t="shared" si="8"/>
        <v>817205.95000000007</v>
      </c>
      <c r="AZ32" s="163">
        <f t="shared" si="8"/>
        <v>121608.48</v>
      </c>
      <c r="BA32" s="163">
        <f t="shared" si="8"/>
        <v>503142.03</v>
      </c>
      <c r="BB32" s="163">
        <f t="shared" si="8"/>
        <v>3671649.2399999998</v>
      </c>
      <c r="BC32" s="163">
        <f t="shared" si="8"/>
        <v>70190.030000000013</v>
      </c>
      <c r="BD32" s="13">
        <f>SUM(E32:W32)</f>
        <v>16746357.280000003</v>
      </c>
      <c r="BE32" s="13">
        <f>SUM(X32:AI32)</f>
        <v>3163449.82</v>
      </c>
      <c r="BF32" s="13">
        <f>SUM(AJ32:BC32)</f>
        <v>9968310.620000001</v>
      </c>
    </row>
    <row r="33" spans="1:58" ht="15.75" thickBot="1" x14ac:dyDescent="0.3">
      <c r="A33" s="7"/>
      <c r="B33" s="108"/>
      <c r="C33" s="7"/>
      <c r="D33" s="163"/>
      <c r="BD33" s="13"/>
      <c r="BE33" s="13"/>
      <c r="BF33" s="13"/>
    </row>
    <row r="34" spans="1:58" ht="15.75" thickBot="1" x14ac:dyDescent="0.3">
      <c r="A34" s="7" t="s">
        <v>513</v>
      </c>
      <c r="B34" s="108"/>
      <c r="C34" s="7"/>
      <c r="D34" s="181">
        <f>'Quotité d''intéret + revenus det'!D16</f>
        <v>430431551.60999995</v>
      </c>
      <c r="E34" s="13">
        <f>'Quotité d''intéret + revenus det'!E16</f>
        <v>4166042.9299999997</v>
      </c>
      <c r="F34" s="13">
        <f>'Quotité d''intéret + revenus det'!F16</f>
        <v>1223404.4400000002</v>
      </c>
      <c r="G34" s="13">
        <f>'Quotité d''intéret + revenus det'!G16</f>
        <v>1717008.13</v>
      </c>
      <c r="H34" s="13">
        <f>'Quotité d''intéret + revenus det'!H16</f>
        <v>2191246.6</v>
      </c>
      <c r="I34" s="13">
        <f>'Quotité d''intéret + revenus det'!I16</f>
        <v>17257750.880000003</v>
      </c>
      <c r="J34" s="13">
        <f>'Quotité d''intéret + revenus det'!J16</f>
        <v>15134411.550000001</v>
      </c>
      <c r="K34" s="13">
        <f>'Quotité d''intéret + revenus det'!K16</f>
        <v>11735419.250000004</v>
      </c>
      <c r="L34" s="13">
        <f>'Quotité d''intéret + revenus det'!L16</f>
        <v>114909930.44</v>
      </c>
      <c r="M34" s="13">
        <f>'Quotité d''intéret + revenus det'!M16</f>
        <v>8501982.7100000009</v>
      </c>
      <c r="N34" s="13">
        <f>'Quotité d''intéret + revenus det'!N16</f>
        <v>512400.14000000007</v>
      </c>
      <c r="O34" s="13">
        <f>'Quotité d''intéret + revenus det'!O16</f>
        <v>28485285.119999997</v>
      </c>
      <c r="P34" s="13">
        <f>'Quotité d''intéret + revenus det'!P16</f>
        <v>2048012.7400000002</v>
      </c>
      <c r="Q34" s="13">
        <f>'Quotité d''intéret + revenus det'!Q16</f>
        <v>385240.59</v>
      </c>
      <c r="R34" s="13">
        <f>'Quotité d''intéret + revenus det'!R16</f>
        <v>1769077.2900000003</v>
      </c>
      <c r="S34" s="13">
        <f>'Quotité d''intéret + revenus det'!S16</f>
        <v>1417234.0799999998</v>
      </c>
      <c r="T34" s="13">
        <f>'Quotité d''intéret + revenus det'!T16</f>
        <v>3398547.7600000002</v>
      </c>
      <c r="U34" s="13">
        <f>'Quotité d''intéret + revenus det'!U16</f>
        <v>1071094.9700000002</v>
      </c>
      <c r="V34" s="13">
        <f>'Quotité d''intéret + revenus det'!V16</f>
        <v>2429444.3600000003</v>
      </c>
      <c r="W34" s="13">
        <f>'Quotité d''intéret + revenus det'!W16</f>
        <v>12738544.350000001</v>
      </c>
      <c r="X34" s="13">
        <f>'Quotité d''intéret + revenus det'!X16</f>
        <v>1541379.1099999999</v>
      </c>
      <c r="Y34" s="13">
        <f>'Quotité d''intéret + revenus det'!Y16</f>
        <v>7336082.8700000001</v>
      </c>
      <c r="Z34" s="13">
        <f>'Quotité d''intéret + revenus det'!Z16</f>
        <v>18768640.639999997</v>
      </c>
      <c r="AA34" s="13">
        <f>'Quotité d''intéret + revenus det'!AA16</f>
        <v>706099.99</v>
      </c>
      <c r="AB34" s="13">
        <f>'Quotité d''intéret + revenus det'!AB16</f>
        <v>2417184.7800000003</v>
      </c>
      <c r="AC34" s="13">
        <f>'Quotité d''intéret + revenus det'!AC16</f>
        <v>4013430.939999999</v>
      </c>
      <c r="AD34" s="13">
        <f>'Quotité d''intéret + revenus det'!AD16</f>
        <v>2619581.15</v>
      </c>
      <c r="AE34" s="13">
        <f>'Quotité d''intéret + revenus det'!AE16</f>
        <v>3635118.7400000012</v>
      </c>
      <c r="AF34" s="13">
        <f>'Quotité d''intéret + revenus det'!AF16</f>
        <v>11150461.41</v>
      </c>
      <c r="AG34" s="13">
        <f>'Quotité d''intéret + revenus det'!AG16</f>
        <v>13602160.380000003</v>
      </c>
      <c r="AH34" s="13">
        <f>'Quotité d''intéret + revenus det'!AH16</f>
        <v>1092057.03</v>
      </c>
      <c r="AI34" s="13">
        <f>'Quotité d''intéret + revenus det'!AI16</f>
        <v>701599.10000000009</v>
      </c>
      <c r="AJ34" s="13">
        <f>'Quotité d''intéret + revenus det'!AJ16</f>
        <v>8534823.7899999991</v>
      </c>
      <c r="AK34" s="13">
        <f>'Quotité d''intéret + revenus det'!AK16</f>
        <v>6047592.71</v>
      </c>
      <c r="AL34" s="13">
        <f>'Quotité d''intéret + revenus det'!AL16</f>
        <v>5457984.1900000004</v>
      </c>
      <c r="AM34" s="13">
        <f>'Quotité d''intéret + revenus det'!AM16</f>
        <v>656281.18999999994</v>
      </c>
      <c r="AN34" s="13">
        <f>'Quotité d''intéret + revenus det'!AN16</f>
        <v>10565433.899999997</v>
      </c>
      <c r="AO34" s="13">
        <f>'Quotité d''intéret + revenus det'!AO16</f>
        <v>3441970.74</v>
      </c>
      <c r="AP34" s="13">
        <f>'Quotité d''intéret + revenus det'!AP16</f>
        <v>3076484.37</v>
      </c>
      <c r="AQ34" s="13">
        <f>'Quotité d''intéret + revenus det'!AQ16</f>
        <v>6841720.2300000004</v>
      </c>
      <c r="AR34" s="13">
        <f>'Quotité d''intéret + revenus det'!AR16</f>
        <v>3165423.8000000003</v>
      </c>
      <c r="AS34" s="13">
        <f>'Quotité d''intéret + revenus det'!AS16</f>
        <v>4844555.72</v>
      </c>
      <c r="AT34" s="13">
        <f>'Quotité d''intéret + revenus det'!AT16</f>
        <v>1645193.4</v>
      </c>
      <c r="AU34" s="13">
        <f>'Quotité d''intéret + revenus det'!AU16</f>
        <v>10474718.66</v>
      </c>
      <c r="AV34" s="13">
        <f>'Quotité d''intéret + revenus det'!AV16</f>
        <v>3501796.46</v>
      </c>
      <c r="AW34" s="13">
        <f>'Quotité d''intéret + revenus det'!AW16</f>
        <v>2014759.52</v>
      </c>
      <c r="AX34" s="13">
        <f>'Quotité d''intéret + revenus det'!AX16</f>
        <v>1398937.07</v>
      </c>
      <c r="AY34" s="13">
        <f>'Quotité d''intéret + revenus det'!AY16</f>
        <v>7433540.3700000001</v>
      </c>
      <c r="AZ34" s="13">
        <f>'Quotité d''intéret + revenus det'!AZ16</f>
        <v>1868067.9200000002</v>
      </c>
      <c r="BA34" s="13">
        <f>'Quotité d''intéret + revenus det'!BA16</f>
        <v>5715641.0500000017</v>
      </c>
      <c r="BB34" s="13">
        <f>'Quotité d''intéret + revenus det'!BB16</f>
        <v>42437275.769999996</v>
      </c>
      <c r="BC34" s="13">
        <f>'Quotité d''intéret + revenus det'!BC16</f>
        <v>2633476.2800000003</v>
      </c>
      <c r="BD34" s="13">
        <f>SUM(E34:W34)</f>
        <v>231092078.33000001</v>
      </c>
      <c r="BE34" s="13">
        <f>SUM(X34:AI34)</f>
        <v>67583796.140000001</v>
      </c>
      <c r="BF34" s="13">
        <f>SUM(AJ34:BC34)</f>
        <v>131755677.13999999</v>
      </c>
    </row>
    <row r="35" spans="1:58" ht="15" thickBot="1" x14ac:dyDescent="0.25">
      <c r="B35" s="165"/>
      <c r="D35" s="13"/>
      <c r="BD35" s="13"/>
      <c r="BE35" s="13"/>
      <c r="BF35" s="13"/>
    </row>
    <row r="36" spans="1:58" ht="15.75" thickBot="1" x14ac:dyDescent="0.3">
      <c r="A36" s="7" t="s">
        <v>530</v>
      </c>
      <c r="B36" s="165"/>
      <c r="D36" s="164">
        <f>IF(D34&lt;&gt;0,D32/D34,"")*100</f>
        <v>6.9414329893435873</v>
      </c>
      <c r="E36" s="173">
        <f>IF(E34&lt;&gt;0,E32/E34,"")*100</f>
        <v>9.47974196703729</v>
      </c>
      <c r="F36" s="163">
        <f t="shared" ref="F36:BF36" si="9">IF(F34&lt;&gt;0,F32/F34,"")*100</f>
        <v>9.3227387665848251</v>
      </c>
      <c r="G36" s="163">
        <f t="shared" si="9"/>
        <v>6.74422025013941</v>
      </c>
      <c r="H36" s="163">
        <f t="shared" si="9"/>
        <v>8.7668329981664304</v>
      </c>
      <c r="I36" s="163">
        <f t="shared" si="9"/>
        <v>7.8305642455768254</v>
      </c>
      <c r="J36" s="163">
        <f t="shared" si="9"/>
        <v>8.2950893455781571</v>
      </c>
      <c r="K36" s="163">
        <f t="shared" si="9"/>
        <v>5.9060648387146442</v>
      </c>
      <c r="L36" s="163">
        <f t="shared" si="9"/>
        <v>7.3540298106893554</v>
      </c>
      <c r="M36" s="163">
        <f t="shared" si="9"/>
        <v>5.100299598233363</v>
      </c>
      <c r="N36" s="163">
        <f t="shared" si="9"/>
        <v>12.998370765472467</v>
      </c>
      <c r="O36" s="163">
        <f t="shared" si="9"/>
        <v>6.4497379340256371</v>
      </c>
      <c r="P36" s="163">
        <f t="shared" si="9"/>
        <v>7.9290419843774984</v>
      </c>
      <c r="Q36" s="163">
        <f t="shared" si="9"/>
        <v>5.8159785291575847</v>
      </c>
      <c r="R36" s="163">
        <f t="shared" si="9"/>
        <v>4.2069750383828621</v>
      </c>
      <c r="S36" s="163">
        <f t="shared" si="9"/>
        <v>9.3884603734620917</v>
      </c>
      <c r="T36" s="163">
        <f t="shared" si="9"/>
        <v>4.475047895163315</v>
      </c>
      <c r="U36" s="163">
        <f t="shared" si="9"/>
        <v>5.6129532566099138</v>
      </c>
      <c r="V36" s="163">
        <f t="shared" si="9"/>
        <v>6.119844209974004</v>
      </c>
      <c r="W36" s="163">
        <f t="shared" si="9"/>
        <v>8.5445443379878796</v>
      </c>
      <c r="X36" s="163">
        <f t="shared" si="9"/>
        <v>5.0453752419156652</v>
      </c>
      <c r="Y36" s="163">
        <f t="shared" si="9"/>
        <v>5.273516491778671</v>
      </c>
      <c r="Z36" s="163">
        <f t="shared" si="9"/>
        <v>1.9043234768866035</v>
      </c>
      <c r="AA36" s="163">
        <f t="shared" si="9"/>
        <v>1.9309758098141314</v>
      </c>
      <c r="AB36" s="163">
        <f t="shared" si="9"/>
        <v>6.0322061931897473</v>
      </c>
      <c r="AC36" s="163">
        <f t="shared" si="9"/>
        <v>9.9958326428808597</v>
      </c>
      <c r="AD36" s="163">
        <f t="shared" si="9"/>
        <v>7.192427690205359</v>
      </c>
      <c r="AE36" s="163">
        <f t="shared" si="9"/>
        <v>2.7907985201055627</v>
      </c>
      <c r="AF36" s="163">
        <f t="shared" si="9"/>
        <v>4.4792462090588954</v>
      </c>
      <c r="AG36" s="163">
        <f t="shared" si="9"/>
        <v>6.5981267308068583</v>
      </c>
      <c r="AH36" s="163">
        <f t="shared" si="9"/>
        <v>7.0686894438104568</v>
      </c>
      <c r="AI36" s="163">
        <f t="shared" si="9"/>
        <v>2.3913115053881904</v>
      </c>
      <c r="AJ36" s="163">
        <f t="shared" si="9"/>
        <v>6.2464935787502656</v>
      </c>
      <c r="AK36" s="163">
        <f t="shared" si="9"/>
        <v>5.917129296890101</v>
      </c>
      <c r="AL36" s="163">
        <f t="shared" si="9"/>
        <v>7.1147721664616981</v>
      </c>
      <c r="AM36" s="163">
        <f t="shared" si="9"/>
        <v>8.2438824736086076</v>
      </c>
      <c r="AN36" s="163">
        <f t="shared" si="9"/>
        <v>6.4337008440325416</v>
      </c>
      <c r="AO36" s="163">
        <f t="shared" si="9"/>
        <v>4.4073843579507015</v>
      </c>
      <c r="AP36" s="163">
        <f t="shared" si="9"/>
        <v>16.183441556051203</v>
      </c>
      <c r="AQ36" s="163">
        <f t="shared" si="9"/>
        <v>3.8751849109153058</v>
      </c>
      <c r="AR36" s="163">
        <f t="shared" si="9"/>
        <v>5.8010816750667002</v>
      </c>
      <c r="AS36" s="163">
        <f t="shared" si="9"/>
        <v>6.2922872110138517</v>
      </c>
      <c r="AT36" s="163">
        <f t="shared" si="9"/>
        <v>5.0554105067525814</v>
      </c>
      <c r="AU36" s="163">
        <f t="shared" si="9"/>
        <v>8.3666003684341455</v>
      </c>
      <c r="AV36" s="163">
        <f t="shared" si="9"/>
        <v>4.5711491752436126</v>
      </c>
      <c r="AW36" s="163">
        <f t="shared" si="9"/>
        <v>3.5429220853116998</v>
      </c>
      <c r="AX36" s="163">
        <f t="shared" si="9"/>
        <v>12.666255244776664</v>
      </c>
      <c r="AY36" s="163">
        <f t="shared" si="9"/>
        <v>10.993495821964576</v>
      </c>
      <c r="AZ36" s="163">
        <f t="shared" si="9"/>
        <v>6.5098532391691624</v>
      </c>
      <c r="BA36" s="163">
        <f t="shared" si="9"/>
        <v>8.8028976207314464</v>
      </c>
      <c r="BB36" s="163">
        <f t="shared" si="9"/>
        <v>8.6519437767388059</v>
      </c>
      <c r="BC36" s="163">
        <f t="shared" si="9"/>
        <v>2.6652994953119533</v>
      </c>
      <c r="BD36" s="163">
        <f t="shared" si="9"/>
        <v>7.2466167603054608</v>
      </c>
      <c r="BE36" s="163">
        <f t="shared" si="9"/>
        <v>4.6807814900585134</v>
      </c>
      <c r="BF36" s="163">
        <f t="shared" si="9"/>
        <v>7.5657541567699935</v>
      </c>
    </row>
    <row r="37" spans="1:58" x14ac:dyDescent="0.2">
      <c r="A37" s="169" t="s">
        <v>531</v>
      </c>
      <c r="B37" s="165"/>
      <c r="D37" s="13"/>
    </row>
    <row r="38" spans="1:58" x14ac:dyDescent="0.2">
      <c r="D38" s="13"/>
    </row>
    <row r="39" spans="1:58"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42"/>
  <sheetViews>
    <sheetView workbookViewId="0">
      <pane xSplit="4" ySplit="4" topLeftCell="AY1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20.140625" style="8" customWidth="1"/>
    <col min="62" max="16384" width="11.42578125" style="8"/>
  </cols>
  <sheetData>
    <row r="1" spans="1:61" ht="18" x14ac:dyDescent="0.25">
      <c r="A1" s="227" t="s">
        <v>488</v>
      </c>
      <c r="B1" s="227"/>
      <c r="C1" s="227"/>
      <c r="D1" s="227"/>
    </row>
    <row r="3" spans="1:61" ht="15" x14ac:dyDescent="0.25">
      <c r="A3" s="7" t="s">
        <v>532</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8">
        <f>'4.1 Comptes 2023 natures'!BE3</f>
        <v>39660</v>
      </c>
      <c r="BE3" s="178">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248</v>
      </c>
      <c r="B5" s="156" t="s">
        <v>221</v>
      </c>
      <c r="C5" s="182">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c r="BI5" s="13"/>
    </row>
    <row r="6" spans="1:61"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c r="BI6" s="13"/>
    </row>
    <row r="7" spans="1:61" ht="15" thickBot="1" x14ac:dyDescent="0.25">
      <c r="A7" s="161"/>
      <c r="B7" s="162"/>
      <c r="C7" s="161"/>
      <c r="D7" s="163"/>
      <c r="BD7" s="13"/>
      <c r="BE7" s="13"/>
      <c r="BF7" s="13"/>
      <c r="BI7" s="13"/>
    </row>
    <row r="8" spans="1:61"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c r="BI8" s="13"/>
    </row>
    <row r="9" spans="1:61" ht="15" thickBot="1" x14ac:dyDescent="0.25">
      <c r="B9" s="165"/>
      <c r="D9" s="13"/>
      <c r="BD9" s="13"/>
      <c r="BE9" s="13"/>
      <c r="BF9" s="13"/>
      <c r="BI9" s="13"/>
    </row>
    <row r="10" spans="1:61" ht="15.75" thickBot="1" x14ac:dyDescent="0.3">
      <c r="A10" s="7" t="s">
        <v>533</v>
      </c>
      <c r="B10" s="165"/>
      <c r="D10" s="183">
        <f>'Base de données indicateurs1'!BD3</f>
        <v>74548</v>
      </c>
      <c r="E10" s="65">
        <f>E3</f>
        <v>961</v>
      </c>
      <c r="F10" s="65">
        <f t="shared" ref="F10:BC10" si="1">F3</f>
        <v>261</v>
      </c>
      <c r="G10" s="65">
        <f t="shared" si="1"/>
        <v>494</v>
      </c>
      <c r="H10" s="65">
        <f t="shared" si="1"/>
        <v>445</v>
      </c>
      <c r="I10" s="65">
        <f t="shared" si="1"/>
        <v>3667</v>
      </c>
      <c r="J10" s="65">
        <f t="shared" si="1"/>
        <v>3396</v>
      </c>
      <c r="K10" s="65">
        <f t="shared" si="1"/>
        <v>2724</v>
      </c>
      <c r="L10" s="65">
        <f t="shared" si="1"/>
        <v>12739</v>
      </c>
      <c r="M10" s="65">
        <f t="shared" si="1"/>
        <v>1372</v>
      </c>
      <c r="N10" s="65">
        <f t="shared" si="1"/>
        <v>117</v>
      </c>
      <c r="O10" s="65">
        <f t="shared" si="1"/>
        <v>7362</v>
      </c>
      <c r="P10" s="65">
        <f t="shared" si="1"/>
        <v>535</v>
      </c>
      <c r="Q10" s="65">
        <f t="shared" si="1"/>
        <v>112</v>
      </c>
      <c r="R10" s="65">
        <f t="shared" si="1"/>
        <v>420</v>
      </c>
      <c r="S10" s="65">
        <f t="shared" si="1"/>
        <v>349</v>
      </c>
      <c r="T10" s="65">
        <f t="shared" si="1"/>
        <v>733</v>
      </c>
      <c r="U10" s="65">
        <f t="shared" si="1"/>
        <v>273</v>
      </c>
      <c r="V10" s="65">
        <f t="shared" si="1"/>
        <v>431</v>
      </c>
      <c r="W10" s="65">
        <f t="shared" si="1"/>
        <v>3269</v>
      </c>
      <c r="X10" s="65">
        <f t="shared" si="1"/>
        <v>305</v>
      </c>
      <c r="Y10" s="65">
        <f t="shared" si="1"/>
        <v>1252</v>
      </c>
      <c r="Z10" s="65">
        <f t="shared" si="1"/>
        <v>1642</v>
      </c>
      <c r="AA10" s="65">
        <f t="shared" si="1"/>
        <v>149</v>
      </c>
      <c r="AB10" s="65">
        <f t="shared" si="1"/>
        <v>510</v>
      </c>
      <c r="AC10" s="65">
        <f t="shared" si="1"/>
        <v>710</v>
      </c>
      <c r="AD10" s="65">
        <f t="shared" si="1"/>
        <v>566</v>
      </c>
      <c r="AE10" s="65">
        <f t="shared" si="1"/>
        <v>508</v>
      </c>
      <c r="AF10" s="65">
        <f t="shared" si="1"/>
        <v>1957</v>
      </c>
      <c r="AG10" s="65">
        <f t="shared" si="1"/>
        <v>2568</v>
      </c>
      <c r="AH10" s="65">
        <f t="shared" si="1"/>
        <v>239</v>
      </c>
      <c r="AI10" s="65">
        <f t="shared" si="1"/>
        <v>125</v>
      </c>
      <c r="AJ10" s="65">
        <f t="shared" si="1"/>
        <v>1907</v>
      </c>
      <c r="AK10" s="65">
        <f t="shared" si="1"/>
        <v>1134</v>
      </c>
      <c r="AL10" s="65">
        <f t="shared" si="1"/>
        <v>1203</v>
      </c>
      <c r="AM10" s="65">
        <f t="shared" si="1"/>
        <v>112</v>
      </c>
      <c r="AN10" s="65">
        <f t="shared" si="1"/>
        <v>1171</v>
      </c>
      <c r="AO10" s="65">
        <f t="shared" si="1"/>
        <v>655</v>
      </c>
      <c r="AP10" s="65">
        <f t="shared" si="1"/>
        <v>631</v>
      </c>
      <c r="AQ10" s="65">
        <f t="shared" si="1"/>
        <v>1294</v>
      </c>
      <c r="AR10" s="65">
        <f t="shared" si="1"/>
        <v>721</v>
      </c>
      <c r="AS10" s="65">
        <f t="shared" si="1"/>
        <v>1060</v>
      </c>
      <c r="AT10" s="65">
        <f t="shared" si="1"/>
        <v>314</v>
      </c>
      <c r="AU10" s="65">
        <f t="shared" si="1"/>
        <v>2453</v>
      </c>
      <c r="AV10" s="65">
        <f t="shared" si="1"/>
        <v>774</v>
      </c>
      <c r="AW10" s="65">
        <f t="shared" si="1"/>
        <v>363</v>
      </c>
      <c r="AX10" s="65">
        <f t="shared" si="1"/>
        <v>332</v>
      </c>
      <c r="AY10" s="65">
        <f t="shared" si="1"/>
        <v>1647</v>
      </c>
      <c r="AZ10" s="65">
        <f t="shared" si="1"/>
        <v>381</v>
      </c>
      <c r="BA10" s="65">
        <f t="shared" si="1"/>
        <v>1057</v>
      </c>
      <c r="BB10" s="65">
        <f t="shared" si="1"/>
        <v>6601</v>
      </c>
      <c r="BC10" s="65">
        <f t="shared" si="1"/>
        <v>547</v>
      </c>
      <c r="BD10" s="13">
        <f>SUM(E10:W10)</f>
        <v>39660</v>
      </c>
      <c r="BE10" s="13">
        <f>SUM(X10:AI10)</f>
        <v>10531</v>
      </c>
      <c r="BF10" s="13">
        <f>SUM(AJ10:BC10)</f>
        <v>24357</v>
      </c>
      <c r="BI10" s="13"/>
    </row>
    <row r="11" spans="1:61" ht="15" thickBot="1" x14ac:dyDescent="0.25">
      <c r="A11" s="169"/>
      <c r="B11" s="165"/>
      <c r="D11" s="13"/>
      <c r="BD11" s="13"/>
      <c r="BE11" s="13"/>
      <c r="BF11" s="13"/>
      <c r="BI11" s="13"/>
    </row>
    <row r="12" spans="1:61" ht="15.75" thickBot="1" x14ac:dyDescent="0.3">
      <c r="A12" s="7" t="s">
        <v>534</v>
      </c>
      <c r="B12" s="165"/>
      <c r="D12" s="164">
        <f>IF(D10="","",D8/D10)</f>
        <v>4013.5612475183748</v>
      </c>
      <c r="E12" s="173">
        <f>IF(E10="","",E8/E10)</f>
        <v>5505.1180957336092</v>
      </c>
      <c r="F12" s="163">
        <f t="shared" ref="F12:BF12" si="2">IF(F10="","",F8/F10)</f>
        <v>4374.9996551724144</v>
      </c>
      <c r="G12" s="163">
        <f t="shared" si="2"/>
        <v>4264.6523279352214</v>
      </c>
      <c r="H12" s="163">
        <f t="shared" si="2"/>
        <v>-302.67130337078754</v>
      </c>
      <c r="I12" s="163">
        <f t="shared" si="2"/>
        <v>4012.0566866648478</v>
      </c>
      <c r="J12" s="163">
        <f t="shared" si="2"/>
        <v>4680.1471672555945</v>
      </c>
      <c r="K12" s="163">
        <f t="shared" si="2"/>
        <v>-236.22920704845794</v>
      </c>
      <c r="L12" s="163">
        <f t="shared" si="2"/>
        <v>8640.104258576026</v>
      </c>
      <c r="M12" s="163">
        <f t="shared" si="2"/>
        <v>3147.1801967930032</v>
      </c>
      <c r="N12" s="163">
        <f t="shared" si="2"/>
        <v>4877.5546153846153</v>
      </c>
      <c r="O12" s="163">
        <f t="shared" si="2"/>
        <v>4205.967249388752</v>
      </c>
      <c r="P12" s="163">
        <f t="shared" si="2"/>
        <v>1659.8441308411213</v>
      </c>
      <c r="Q12" s="163">
        <f t="shared" si="2"/>
        <v>101.66750000000009</v>
      </c>
      <c r="R12" s="163">
        <f t="shared" si="2"/>
        <v>4215.658071428571</v>
      </c>
      <c r="S12" s="163">
        <f t="shared" si="2"/>
        <v>4192.4633524355304</v>
      </c>
      <c r="T12" s="163">
        <f t="shared" si="2"/>
        <v>-1014.341678035471</v>
      </c>
      <c r="U12" s="163">
        <f t="shared" si="2"/>
        <v>1629.6742490842485</v>
      </c>
      <c r="V12" s="163">
        <f t="shared" si="2"/>
        <v>3974.836102088168</v>
      </c>
      <c r="W12" s="163">
        <f t="shared" si="2"/>
        <v>3352.2005169776685</v>
      </c>
      <c r="X12" s="163">
        <f t="shared" si="2"/>
        <v>-3945.6501311475413</v>
      </c>
      <c r="Y12" s="163">
        <f t="shared" si="2"/>
        <v>3717.8627236421726</v>
      </c>
      <c r="Z12" s="163">
        <f t="shared" si="2"/>
        <v>-11508.900950060901</v>
      </c>
      <c r="AA12" s="163">
        <f t="shared" si="2"/>
        <v>-2091.9854362416127</v>
      </c>
      <c r="AB12" s="163">
        <f t="shared" si="2"/>
        <v>3142.9298823529416</v>
      </c>
      <c r="AC12" s="163">
        <f t="shared" si="2"/>
        <v>7341.925450704226</v>
      </c>
      <c r="AD12" s="163">
        <f t="shared" si="2"/>
        <v>3611.4224381625436</v>
      </c>
      <c r="AE12" s="163">
        <f t="shared" si="2"/>
        <v>-4548.5309448818907</v>
      </c>
      <c r="AF12" s="163">
        <f t="shared" si="2"/>
        <v>-1290.9050740930002</v>
      </c>
      <c r="AG12" s="163">
        <f t="shared" si="2"/>
        <v>2067.0751830218078</v>
      </c>
      <c r="AH12" s="163">
        <f t="shared" si="2"/>
        <v>-506.90443514644318</v>
      </c>
      <c r="AI12" s="163">
        <f t="shared" si="2"/>
        <v>-8788.0319199999994</v>
      </c>
      <c r="AJ12" s="163">
        <f t="shared" si="2"/>
        <v>5668.7605873099119</v>
      </c>
      <c r="AK12" s="163">
        <f t="shared" si="2"/>
        <v>2282.5121957671959</v>
      </c>
      <c r="AL12" s="163">
        <f t="shared" si="2"/>
        <v>5970.8091271820449</v>
      </c>
      <c r="AM12" s="163">
        <f t="shared" si="2"/>
        <v>-661.88857142857159</v>
      </c>
      <c r="AN12" s="163">
        <f t="shared" si="2"/>
        <v>-6002.5218360375748</v>
      </c>
      <c r="AO12" s="163">
        <f t="shared" si="2"/>
        <v>3715.8945038167944</v>
      </c>
      <c r="AP12" s="163">
        <f t="shared" si="2"/>
        <v>3408.0676862123619</v>
      </c>
      <c r="AQ12" s="163">
        <f t="shared" si="2"/>
        <v>-238.62187789798853</v>
      </c>
      <c r="AR12" s="163">
        <f t="shared" si="2"/>
        <v>4297.722704576976</v>
      </c>
      <c r="AS12" s="163">
        <f t="shared" si="2"/>
        <v>4943.0945566037744</v>
      </c>
      <c r="AT12" s="163">
        <f t="shared" si="2"/>
        <v>-3504.0133121019112</v>
      </c>
      <c r="AU12" s="163">
        <f t="shared" si="2"/>
        <v>4272.2866490012239</v>
      </c>
      <c r="AV12" s="163">
        <f t="shared" si="2"/>
        <v>3595.9459173126597</v>
      </c>
      <c r="AW12" s="163">
        <f t="shared" si="2"/>
        <v>-1925.7240771349861</v>
      </c>
      <c r="AX12" s="163">
        <f t="shared" si="2"/>
        <v>-739.19346385542303</v>
      </c>
      <c r="AY12" s="163">
        <f t="shared" si="2"/>
        <v>9059.9394535519114</v>
      </c>
      <c r="AZ12" s="163">
        <f t="shared" si="2"/>
        <v>568.78178477690255</v>
      </c>
      <c r="BA12" s="163">
        <f t="shared" si="2"/>
        <v>5299.43412488174</v>
      </c>
      <c r="BB12" s="163">
        <f t="shared" si="2"/>
        <v>6957.0369534918955</v>
      </c>
      <c r="BC12" s="163">
        <f t="shared" si="2"/>
        <v>3808.4356489945153</v>
      </c>
      <c r="BD12" s="163">
        <f t="shared" si="2"/>
        <v>5062.8367702975283</v>
      </c>
      <c r="BE12" s="163">
        <f t="shared" si="2"/>
        <v>-726.10521033140242</v>
      </c>
      <c r="BF12" s="163">
        <f t="shared" si="2"/>
        <v>4354.2912320893374</v>
      </c>
      <c r="BI12" s="13"/>
    </row>
    <row r="13" spans="1:61" x14ac:dyDescent="0.2">
      <c r="A13" s="169" t="s">
        <v>535</v>
      </c>
      <c r="B13" s="165"/>
      <c r="D13" s="13"/>
      <c r="BD13" s="13"/>
      <c r="BE13" s="13"/>
      <c r="BF13" s="13"/>
      <c r="BI13" s="13"/>
    </row>
    <row r="14" spans="1:61" x14ac:dyDescent="0.2">
      <c r="A14" s="169"/>
      <c r="B14" s="165"/>
      <c r="D14" s="13"/>
      <c r="BD14" s="13"/>
      <c r="BE14" s="13"/>
      <c r="BF14" s="13"/>
      <c r="BI14" s="13"/>
    </row>
    <row r="15" spans="1:61" ht="15" x14ac:dyDescent="0.25">
      <c r="A15" s="7" t="s">
        <v>536</v>
      </c>
      <c r="B15" s="154"/>
      <c r="C15" s="30" t="s">
        <v>490</v>
      </c>
      <c r="D15" s="180" t="s">
        <v>491</v>
      </c>
      <c r="BD15" s="13"/>
      <c r="BE15" s="13"/>
      <c r="BF15" s="13"/>
      <c r="BI15" s="13"/>
    </row>
    <row r="16" spans="1:61" ht="15" thickBot="1" x14ac:dyDescent="0.25">
      <c r="B16" s="154"/>
      <c r="D16" s="13"/>
      <c r="BD16" s="13"/>
      <c r="BE16" s="13"/>
      <c r="BF16" s="13"/>
      <c r="BI16" s="13"/>
    </row>
    <row r="17" spans="1:61" ht="15.75" thickBot="1" x14ac:dyDescent="0.3">
      <c r="A17" s="7" t="s">
        <v>537</v>
      </c>
      <c r="D17" s="164">
        <f>'Endett. net + degré d''auto.'!D34</f>
        <v>45270484.170000009</v>
      </c>
      <c r="E17" s="13">
        <f>'Endett. net + degré d''auto.'!E34</f>
        <v>566192.26000000013</v>
      </c>
      <c r="F17" s="13">
        <f>'Endett. net + degré d''auto.'!F34</f>
        <v>274358.81</v>
      </c>
      <c r="G17" s="13">
        <f>'Endett. net + degré d''auto.'!G34</f>
        <v>241724.71999999997</v>
      </c>
      <c r="H17" s="13">
        <f>'Endett. net + degré d''auto.'!H34</f>
        <v>218392.13</v>
      </c>
      <c r="I17" s="13">
        <f>'Endett. net + degré d''auto.'!I34</f>
        <v>1565310.1100000003</v>
      </c>
      <c r="J17" s="13">
        <f>'Endett. net + degré d''auto.'!J34</f>
        <v>1598762.2299999997</v>
      </c>
      <c r="K17" s="13">
        <f>'Endett. net + degré d''auto.'!K34</f>
        <v>1671700.55</v>
      </c>
      <c r="L17" s="13">
        <f>'Endett. net + degré d''auto.'!L34</f>
        <v>4493827.6100000003</v>
      </c>
      <c r="M17" s="13">
        <f>'Endett. net + degré d''auto.'!M34</f>
        <v>465099.48999999993</v>
      </c>
      <c r="N17" s="13">
        <f>'Endett. net + degré d''auto.'!N34</f>
        <v>60176.340000000004</v>
      </c>
      <c r="O17" s="13">
        <f>'Endett. net + degré d''auto.'!O34</f>
        <v>1439832.8000000003</v>
      </c>
      <c r="P17" s="13">
        <f>'Endett. net + degré d''auto.'!P34</f>
        <v>323619.8</v>
      </c>
      <c r="Q17" s="13">
        <f>'Endett. net + degré d''auto.'!Q34</f>
        <v>-2619.8600000000029</v>
      </c>
      <c r="R17" s="13">
        <f>'Endett. net + degré d''auto.'!R34</f>
        <v>316823.20999999996</v>
      </c>
      <c r="S17" s="13">
        <f>'Endett. net + degré d''auto.'!S34</f>
        <v>68813.600000000006</v>
      </c>
      <c r="T17" s="13">
        <f>'Endett. net + degré d''auto.'!T34</f>
        <v>314911.34000000003</v>
      </c>
      <c r="U17" s="13">
        <f>'Endett. net + degré d''auto.'!U34</f>
        <v>101340.59999999999</v>
      </c>
      <c r="V17" s="13">
        <f>'Endett. net + degré d''auto.'!V34</f>
        <v>214946.96</v>
      </c>
      <c r="W17" s="13">
        <f>'Endett. net + degré d''auto.'!W34</f>
        <v>1628037.58</v>
      </c>
      <c r="X17" s="13">
        <f>'Endett. net + degré d''auto.'!X34</f>
        <v>193922.57</v>
      </c>
      <c r="Y17" s="13">
        <f>'Endett. net + degré d''auto.'!Y34</f>
        <v>1395777.6800000004</v>
      </c>
      <c r="Z17" s="13">
        <f>'Endett. net + degré d''auto.'!Z34</f>
        <v>6708579.9799999995</v>
      </c>
      <c r="AA17" s="13">
        <f>'Endett. net + degré d''auto.'!AA34</f>
        <v>35068.820000000007</v>
      </c>
      <c r="AB17" s="13">
        <f>'Endett. net + degré d''auto.'!AB34</f>
        <v>-91559.110000000015</v>
      </c>
      <c r="AC17" s="13">
        <f>'Endett. net + degré d''auto.'!AC34</f>
        <v>686429.99</v>
      </c>
      <c r="AD17" s="13">
        <f>'Endett. net + degré d''auto.'!AD34</f>
        <v>149830.56000000003</v>
      </c>
      <c r="AE17" s="13">
        <f>'Endett. net + degré d''auto.'!AE34</f>
        <v>619489.30999999994</v>
      </c>
      <c r="AF17" s="13">
        <f>'Endett. net + degré d''auto.'!AF34</f>
        <v>2191838.39</v>
      </c>
      <c r="AG17" s="13">
        <f>'Endett. net + degré d''auto.'!AG34</f>
        <v>2434914.7800000003</v>
      </c>
      <c r="AH17" s="13">
        <f>'Endett. net + degré d''auto.'!AH34</f>
        <v>102961.27999999998</v>
      </c>
      <c r="AI17" s="13">
        <f>'Endett. net + degré d''auto.'!AI34</f>
        <v>196793.93</v>
      </c>
      <c r="AJ17" s="13">
        <f>'Endett. net + degré d''auto.'!AJ34</f>
        <v>1414753.92</v>
      </c>
      <c r="AK17" s="13">
        <f>'Endett. net + degré d''auto.'!AK34</f>
        <v>1256881.57</v>
      </c>
      <c r="AL17" s="13">
        <f>'Endett. net + degré d''auto.'!AL34</f>
        <v>457121.82</v>
      </c>
      <c r="AM17" s="13">
        <f>'Endett. net + degré d''auto.'!AM34</f>
        <v>31070.819999999996</v>
      </c>
      <c r="AN17" s="13">
        <f>'Endett. net + degré d''auto.'!AN34</f>
        <v>2822454.7399999998</v>
      </c>
      <c r="AO17" s="13">
        <f>'Endett. net + degré d''auto.'!AO34</f>
        <v>-353294.57</v>
      </c>
      <c r="AP17" s="13">
        <f>'Endett. net + degré d''auto.'!AP34</f>
        <v>755252.61</v>
      </c>
      <c r="AQ17" s="13">
        <f>'Endett. net + degré d''auto.'!AQ34</f>
        <v>458962.86</v>
      </c>
      <c r="AR17" s="13">
        <f>'Endett. net + degré d''auto.'!AR34</f>
        <v>-54811.259999999995</v>
      </c>
      <c r="AS17" s="13">
        <f>'Endett. net + degré d''auto.'!AS34</f>
        <v>427880.12000000005</v>
      </c>
      <c r="AT17" s="13">
        <f>'Endett. net + degré d''auto.'!AT34</f>
        <v>672638.6100000001</v>
      </c>
      <c r="AU17" s="13">
        <f>'Endett. net + degré d''auto.'!AU34</f>
        <v>591332.10000000009</v>
      </c>
      <c r="AV17" s="13">
        <f>'Endett. net + degré d''auto.'!AV34</f>
        <v>375517.38</v>
      </c>
      <c r="AW17" s="13">
        <f>'Endett. net + degré d''auto.'!AW34</f>
        <v>453784.38</v>
      </c>
      <c r="AX17" s="13">
        <f>'Endett. net + degré d''auto.'!AX34</f>
        <v>144172.31</v>
      </c>
      <c r="AY17" s="13">
        <f>'Endett. net + degré d''auto.'!AY34</f>
        <v>920710.85000000009</v>
      </c>
      <c r="AZ17" s="13">
        <f>'Endett. net + degré d''auto.'!AZ34</f>
        <v>179099.26</v>
      </c>
      <c r="BA17" s="13">
        <f>'Endett. net + degré d''auto.'!BA34</f>
        <v>409558.06000000006</v>
      </c>
      <c r="BB17" s="13">
        <f>'Endett. net + degré d''auto.'!BB34</f>
        <v>3824202.4399999995</v>
      </c>
      <c r="BC17" s="13">
        <f>'Endett. net + degré d''auto.'!BC34</f>
        <v>288479.31999999995</v>
      </c>
      <c r="BD17" s="13">
        <f>SUM(E17:W17)</f>
        <v>15561250.280000003</v>
      </c>
      <c r="BE17" s="13">
        <f>SUM(X17:AI17)</f>
        <v>14624048.180000002</v>
      </c>
      <c r="BF17" s="13">
        <f>SUM(AJ17:BC17)</f>
        <v>15075767.340000002</v>
      </c>
      <c r="BI17" s="13"/>
    </row>
    <row r="18" spans="1:61" ht="15.75" thickBot="1" x14ac:dyDescent="0.3">
      <c r="A18" s="7"/>
      <c r="D18" s="13"/>
      <c r="BD18" s="13"/>
      <c r="BE18" s="13"/>
      <c r="BF18" s="13"/>
      <c r="BI18" s="13"/>
    </row>
    <row r="19" spans="1:61" ht="15.75" thickBot="1" x14ac:dyDescent="0.3">
      <c r="A19" s="7" t="s">
        <v>513</v>
      </c>
      <c r="D19" s="164">
        <f>'Quotité d''intéret + revenus det'!D16</f>
        <v>430431551.60999995</v>
      </c>
      <c r="E19" s="13">
        <f>'Quotité d''intéret + revenus det'!E16</f>
        <v>4166042.9299999997</v>
      </c>
      <c r="F19" s="13">
        <f>'Quotité d''intéret + revenus det'!F16</f>
        <v>1223404.4400000002</v>
      </c>
      <c r="G19" s="13">
        <f>'Quotité d''intéret + revenus det'!G16</f>
        <v>1717008.13</v>
      </c>
      <c r="H19" s="13">
        <f>'Quotité d''intéret + revenus det'!H16</f>
        <v>2191246.6</v>
      </c>
      <c r="I19" s="13">
        <f>'Quotité d''intéret + revenus det'!I16</f>
        <v>17257750.880000003</v>
      </c>
      <c r="J19" s="13">
        <f>'Quotité d''intéret + revenus det'!J16</f>
        <v>15134411.550000001</v>
      </c>
      <c r="K19" s="13">
        <f>'Quotité d''intéret + revenus det'!K16</f>
        <v>11735419.250000004</v>
      </c>
      <c r="L19" s="13">
        <f>'Quotité d''intéret + revenus det'!L16</f>
        <v>114909930.44</v>
      </c>
      <c r="M19" s="13">
        <f>'Quotité d''intéret + revenus det'!M16</f>
        <v>8501982.7100000009</v>
      </c>
      <c r="N19" s="13">
        <f>'Quotité d''intéret + revenus det'!N16</f>
        <v>512400.14000000007</v>
      </c>
      <c r="O19" s="13">
        <f>'Quotité d''intéret + revenus det'!O16</f>
        <v>28485285.119999997</v>
      </c>
      <c r="P19" s="13">
        <f>'Quotité d''intéret + revenus det'!P16</f>
        <v>2048012.7400000002</v>
      </c>
      <c r="Q19" s="13">
        <f>'Quotité d''intéret + revenus det'!Q16</f>
        <v>385240.59</v>
      </c>
      <c r="R19" s="13">
        <f>'Quotité d''intéret + revenus det'!R16</f>
        <v>1769077.2900000003</v>
      </c>
      <c r="S19" s="13">
        <f>'Quotité d''intéret + revenus det'!S16</f>
        <v>1417234.0799999998</v>
      </c>
      <c r="T19" s="13">
        <f>'Quotité d''intéret + revenus det'!T16</f>
        <v>3398547.7600000002</v>
      </c>
      <c r="U19" s="13">
        <f>'Quotité d''intéret + revenus det'!U16</f>
        <v>1071094.9700000002</v>
      </c>
      <c r="V19" s="13">
        <f>'Quotité d''intéret + revenus det'!V16</f>
        <v>2429444.3600000003</v>
      </c>
      <c r="W19" s="13">
        <f>'Quotité d''intéret + revenus det'!W16</f>
        <v>12738544.350000001</v>
      </c>
      <c r="X19" s="13">
        <f>'Quotité d''intéret + revenus det'!X16</f>
        <v>1541379.1099999999</v>
      </c>
      <c r="Y19" s="13">
        <f>'Quotité d''intéret + revenus det'!Y16</f>
        <v>7336082.8700000001</v>
      </c>
      <c r="Z19" s="13">
        <f>'Quotité d''intéret + revenus det'!Z16</f>
        <v>18768640.639999997</v>
      </c>
      <c r="AA19" s="13">
        <f>'Quotité d''intéret + revenus det'!AA16</f>
        <v>706099.99</v>
      </c>
      <c r="AB19" s="13">
        <f>'Quotité d''intéret + revenus det'!AB16</f>
        <v>2417184.7800000003</v>
      </c>
      <c r="AC19" s="13">
        <f>'Quotité d''intéret + revenus det'!AC16</f>
        <v>4013430.939999999</v>
      </c>
      <c r="AD19" s="13">
        <f>'Quotité d''intéret + revenus det'!AD16</f>
        <v>2619581.15</v>
      </c>
      <c r="AE19" s="13">
        <f>'Quotité d''intéret + revenus det'!AE16</f>
        <v>3635118.7400000012</v>
      </c>
      <c r="AF19" s="13">
        <f>'Quotité d''intéret + revenus det'!AF16</f>
        <v>11150461.41</v>
      </c>
      <c r="AG19" s="13">
        <f>'Quotité d''intéret + revenus det'!AG16</f>
        <v>13602160.380000003</v>
      </c>
      <c r="AH19" s="13">
        <f>'Quotité d''intéret + revenus det'!AH16</f>
        <v>1092057.03</v>
      </c>
      <c r="AI19" s="13">
        <f>'Quotité d''intéret + revenus det'!AI16</f>
        <v>701599.10000000009</v>
      </c>
      <c r="AJ19" s="13">
        <f>'Quotité d''intéret + revenus det'!AJ16</f>
        <v>8534823.7899999991</v>
      </c>
      <c r="AK19" s="13">
        <f>'Quotité d''intéret + revenus det'!AK16</f>
        <v>6047592.71</v>
      </c>
      <c r="AL19" s="13">
        <f>'Quotité d''intéret + revenus det'!AL16</f>
        <v>5457984.1900000004</v>
      </c>
      <c r="AM19" s="13">
        <f>'Quotité d''intéret + revenus det'!AM16</f>
        <v>656281.18999999994</v>
      </c>
      <c r="AN19" s="13">
        <f>'Quotité d''intéret + revenus det'!AN16</f>
        <v>10565433.899999997</v>
      </c>
      <c r="AO19" s="13">
        <f>'Quotité d''intéret + revenus det'!AO16</f>
        <v>3441970.74</v>
      </c>
      <c r="AP19" s="13">
        <f>'Quotité d''intéret + revenus det'!AP16</f>
        <v>3076484.37</v>
      </c>
      <c r="AQ19" s="13">
        <f>'Quotité d''intéret + revenus det'!AQ16</f>
        <v>6841720.2300000004</v>
      </c>
      <c r="AR19" s="13">
        <f>'Quotité d''intéret + revenus det'!AR16</f>
        <v>3165423.8000000003</v>
      </c>
      <c r="AS19" s="13">
        <f>'Quotité d''intéret + revenus det'!AS16</f>
        <v>4844555.72</v>
      </c>
      <c r="AT19" s="13">
        <f>'Quotité d''intéret + revenus det'!AT16</f>
        <v>1645193.4</v>
      </c>
      <c r="AU19" s="13">
        <f>'Quotité d''intéret + revenus det'!AU16</f>
        <v>10474718.66</v>
      </c>
      <c r="AV19" s="13">
        <f>'Quotité d''intéret + revenus det'!AV16</f>
        <v>3501796.46</v>
      </c>
      <c r="AW19" s="13">
        <f>'Quotité d''intéret + revenus det'!AW16</f>
        <v>2014759.52</v>
      </c>
      <c r="AX19" s="13">
        <f>'Quotité d''intéret + revenus det'!AX16</f>
        <v>1398937.07</v>
      </c>
      <c r="AY19" s="13">
        <f>'Quotité d''intéret + revenus det'!AY16</f>
        <v>7433540.3700000001</v>
      </c>
      <c r="AZ19" s="13">
        <f>'Quotité d''intéret + revenus det'!AZ16</f>
        <v>1868067.9200000002</v>
      </c>
      <c r="BA19" s="13">
        <f>'Quotité d''intéret + revenus det'!BA16</f>
        <v>5715641.0500000017</v>
      </c>
      <c r="BB19" s="13">
        <f>'Quotité d''intéret + revenus det'!BB16</f>
        <v>42437275.769999996</v>
      </c>
      <c r="BC19" s="13">
        <f>'Quotité d''intéret + revenus det'!BC16</f>
        <v>2633476.2800000003</v>
      </c>
      <c r="BD19" s="13">
        <f>SUM(E19:W19)</f>
        <v>231092078.33000001</v>
      </c>
      <c r="BE19" s="13">
        <f>SUM(X19:AI19)</f>
        <v>67583796.140000001</v>
      </c>
      <c r="BF19" s="13">
        <f>SUM(AJ19:BC19)</f>
        <v>131755677.13999999</v>
      </c>
      <c r="BI19" s="13"/>
    </row>
    <row r="20" spans="1:61" ht="15.75" thickBot="1" x14ac:dyDescent="0.3">
      <c r="A20" s="7"/>
      <c r="D20" s="13"/>
      <c r="BD20" s="13"/>
      <c r="BE20" s="13"/>
      <c r="BF20" s="13"/>
      <c r="BI20" s="13"/>
    </row>
    <row r="21" spans="1:61" ht="15.75" thickBot="1" x14ac:dyDescent="0.3">
      <c r="A21" s="7" t="s">
        <v>538</v>
      </c>
      <c r="D21" s="164">
        <f>IF(D19&lt;&gt;0,D17/D19,"")*100</f>
        <v>10.517464159090764</v>
      </c>
      <c r="E21" s="173">
        <f>IF(E19&lt;&gt;0,E17/E19,"")*100</f>
        <v>13.590648716622805</v>
      </c>
      <c r="F21" s="163">
        <f t="shared" ref="F21:BF21" si="3">IF(F19&lt;&gt;0,F17/F19,"")*100</f>
        <v>22.425847171193851</v>
      </c>
      <c r="G21" s="163">
        <f t="shared" si="3"/>
        <v>14.078251335944461</v>
      </c>
      <c r="H21" s="163">
        <f t="shared" si="3"/>
        <v>9.9665701706051699</v>
      </c>
      <c r="I21" s="163">
        <f t="shared" si="3"/>
        <v>9.0701860334189739</v>
      </c>
      <c r="J21" s="163">
        <f t="shared" si="3"/>
        <v>10.563755483443291</v>
      </c>
      <c r="K21" s="163">
        <f t="shared" si="3"/>
        <v>14.244915451145893</v>
      </c>
      <c r="L21" s="163">
        <f t="shared" si="3"/>
        <v>3.9107391265426306</v>
      </c>
      <c r="M21" s="163">
        <f t="shared" si="3"/>
        <v>5.470482661096824</v>
      </c>
      <c r="N21" s="163">
        <f t="shared" si="3"/>
        <v>11.74401318469585</v>
      </c>
      <c r="O21" s="163">
        <f t="shared" si="3"/>
        <v>5.0546546890242272</v>
      </c>
      <c r="P21" s="163">
        <f t="shared" si="3"/>
        <v>15.801649749503021</v>
      </c>
      <c r="Q21" s="163">
        <f t="shared" si="3"/>
        <v>-0.68005814236760531</v>
      </c>
      <c r="R21" s="163">
        <f t="shared" si="3"/>
        <v>17.908952412135704</v>
      </c>
      <c r="S21" s="163">
        <f t="shared" si="3"/>
        <v>4.8554858347747336</v>
      </c>
      <c r="T21" s="163">
        <f t="shared" si="3"/>
        <v>9.2660560403600165</v>
      </c>
      <c r="U21" s="163">
        <f t="shared" si="3"/>
        <v>9.4614019147153652</v>
      </c>
      <c r="V21" s="163">
        <f t="shared" si="3"/>
        <v>8.8475769825821402</v>
      </c>
      <c r="W21" s="163">
        <f t="shared" si="3"/>
        <v>12.780405164582245</v>
      </c>
      <c r="X21" s="163">
        <f t="shared" si="3"/>
        <v>12.581107966358779</v>
      </c>
      <c r="Y21" s="163">
        <f t="shared" si="3"/>
        <v>19.026198377718167</v>
      </c>
      <c r="Z21" s="163">
        <f t="shared" si="3"/>
        <v>35.74355814401698</v>
      </c>
      <c r="AA21" s="163">
        <f t="shared" si="3"/>
        <v>4.9665515502981394</v>
      </c>
      <c r="AB21" s="163">
        <f t="shared" si="3"/>
        <v>-3.7878407458779386</v>
      </c>
      <c r="AC21" s="163">
        <f t="shared" si="3"/>
        <v>17.103321329356177</v>
      </c>
      <c r="AD21" s="163">
        <f t="shared" si="3"/>
        <v>5.7196380421350961</v>
      </c>
      <c r="AE21" s="163">
        <f t="shared" si="3"/>
        <v>17.041790222236312</v>
      </c>
      <c r="AF21" s="163">
        <f t="shared" si="3"/>
        <v>19.656929963761922</v>
      </c>
      <c r="AG21" s="163">
        <f t="shared" si="3"/>
        <v>17.900941556167709</v>
      </c>
      <c r="AH21" s="163">
        <f t="shared" si="3"/>
        <v>9.4281962545490856</v>
      </c>
      <c r="AI21" s="163">
        <f t="shared" si="3"/>
        <v>28.049341853488691</v>
      </c>
      <c r="AJ21" s="163">
        <f t="shared" si="3"/>
        <v>16.576252243867355</v>
      </c>
      <c r="AK21" s="163">
        <f t="shared" si="3"/>
        <v>20.783171590270669</v>
      </c>
      <c r="AL21" s="163">
        <f t="shared" si="3"/>
        <v>8.3752866275708282</v>
      </c>
      <c r="AM21" s="163">
        <f t="shared" si="3"/>
        <v>4.7343761292320448</v>
      </c>
      <c r="AN21" s="163">
        <f t="shared" si="3"/>
        <v>26.714044749264872</v>
      </c>
      <c r="AO21" s="163">
        <f t="shared" si="3"/>
        <v>-10.264310672205191</v>
      </c>
      <c r="AP21" s="163">
        <f t="shared" si="3"/>
        <v>24.549210045230947</v>
      </c>
      <c r="AQ21" s="163">
        <f t="shared" si="3"/>
        <v>6.7082962262547809</v>
      </c>
      <c r="AR21" s="163">
        <f t="shared" si="3"/>
        <v>-1.7315615052872224</v>
      </c>
      <c r="AS21" s="163">
        <f t="shared" si="3"/>
        <v>8.8321849253082814</v>
      </c>
      <c r="AT21" s="163">
        <f t="shared" si="3"/>
        <v>40.885078313589155</v>
      </c>
      <c r="AU21" s="163">
        <f t="shared" si="3"/>
        <v>5.645326802505263</v>
      </c>
      <c r="AV21" s="163">
        <f t="shared" si="3"/>
        <v>10.723563870414102</v>
      </c>
      <c r="AW21" s="163">
        <f t="shared" si="3"/>
        <v>22.523004631341809</v>
      </c>
      <c r="AX21" s="163">
        <f t="shared" si="3"/>
        <v>10.305846709745135</v>
      </c>
      <c r="AY21" s="163">
        <f t="shared" si="3"/>
        <v>12.385899640980897</v>
      </c>
      <c r="AZ21" s="163">
        <f t="shared" si="3"/>
        <v>9.5874062223604799</v>
      </c>
      <c r="BA21" s="163">
        <f t="shared" si="3"/>
        <v>7.1655664940680612</v>
      </c>
      <c r="BB21" s="163">
        <f t="shared" si="3"/>
        <v>9.0114230251872733</v>
      </c>
      <c r="BC21" s="163">
        <f t="shared" si="3"/>
        <v>10.954316246964636</v>
      </c>
      <c r="BD21" s="163">
        <f t="shared" si="3"/>
        <v>6.7337878444186661</v>
      </c>
      <c r="BE21" s="163">
        <f t="shared" si="3"/>
        <v>21.638394134751248</v>
      </c>
      <c r="BF21" s="163">
        <f t="shared" si="3"/>
        <v>11.442214610593897</v>
      </c>
      <c r="BI21" s="13"/>
    </row>
    <row r="22" spans="1:61" ht="15" x14ac:dyDescent="0.25">
      <c r="A22" s="169" t="s">
        <v>539</v>
      </c>
      <c r="D22" s="168"/>
      <c r="BD22" s="13"/>
      <c r="BE22" s="13"/>
      <c r="BF22" s="13"/>
      <c r="BI22" s="13"/>
    </row>
    <row r="23" spans="1:61" x14ac:dyDescent="0.2">
      <c r="D23" s="13"/>
      <c r="BD23" s="13"/>
      <c r="BE23" s="13"/>
      <c r="BF23" s="13"/>
      <c r="BI23" s="13"/>
    </row>
    <row r="24" spans="1:61" ht="15" x14ac:dyDescent="0.25">
      <c r="A24" s="7" t="s">
        <v>540</v>
      </c>
      <c r="C24" s="30" t="s">
        <v>490</v>
      </c>
      <c r="D24" s="180" t="s">
        <v>491</v>
      </c>
      <c r="BD24" s="13"/>
      <c r="BE24" s="13"/>
      <c r="BF24" s="13"/>
      <c r="BI24" s="13"/>
    </row>
    <row r="25" spans="1:61" x14ac:dyDescent="0.2">
      <c r="D25" s="13"/>
      <c r="BD25" s="13"/>
      <c r="BE25" s="13"/>
      <c r="BF25" s="13"/>
      <c r="BI25" s="13"/>
    </row>
    <row r="26" spans="1:61" x14ac:dyDescent="0.2">
      <c r="A26" s="155" t="s">
        <v>97</v>
      </c>
      <c r="B26" s="156" t="s">
        <v>221</v>
      </c>
      <c r="C26" s="155">
        <v>34</v>
      </c>
      <c r="D26" s="157">
        <f>'Base de données indicateurs1'!BD22</f>
        <v>10097855.279999999</v>
      </c>
      <c r="E26" s="13">
        <f>'Base de données indicateurs1'!E22</f>
        <v>156645.15</v>
      </c>
      <c r="F26" s="13">
        <f>'Base de données indicateurs1'!F22</f>
        <v>41407.5</v>
      </c>
      <c r="G26" s="13">
        <f>'Base de données indicateurs1'!G22</f>
        <v>71642.899999999994</v>
      </c>
      <c r="H26" s="13">
        <f>'Base de données indicateurs1'!H22</f>
        <v>75086.97</v>
      </c>
      <c r="I26" s="13">
        <f>'Base de données indicateurs1'!I22</f>
        <v>465914.24</v>
      </c>
      <c r="J26" s="13">
        <f>'Base de données indicateurs1'!J22</f>
        <v>363924.84</v>
      </c>
      <c r="K26" s="13">
        <f>'Base de données indicateurs1'!K22</f>
        <v>225427.17</v>
      </c>
      <c r="L26" s="13">
        <f>'Base de données indicateurs1'!L22</f>
        <v>3137578.96</v>
      </c>
      <c r="M26" s="13">
        <f>'Base de données indicateurs1'!M22</f>
        <v>71454.469999999987</v>
      </c>
      <c r="N26" s="13">
        <f>'Base de données indicateurs1'!N22</f>
        <v>6710.34</v>
      </c>
      <c r="O26" s="13">
        <f>'Base de données indicateurs1'!O22</f>
        <v>522748.54000000004</v>
      </c>
      <c r="P26" s="13">
        <f>'Base de données indicateurs1'!P22</f>
        <v>45785.06</v>
      </c>
      <c r="Q26" s="13">
        <f>'Base de données indicateurs1'!Q22</f>
        <v>10831.4</v>
      </c>
      <c r="R26" s="13">
        <f>'Base de données indicateurs1'!R22</f>
        <v>32937.9</v>
      </c>
      <c r="S26" s="13">
        <f>'Base de données indicateurs1'!S22</f>
        <v>68693.420000000013</v>
      </c>
      <c r="T26" s="13">
        <f>'Base de données indicateurs1'!T22</f>
        <v>79640.849999999991</v>
      </c>
      <c r="U26" s="13">
        <f>'Base de données indicateurs1'!U22</f>
        <v>26601.370000000003</v>
      </c>
      <c r="V26" s="13">
        <f>'Base de données indicateurs1'!V22</f>
        <v>43079.06</v>
      </c>
      <c r="W26" s="13">
        <f>'Base de données indicateurs1'!W22</f>
        <v>225667.03000000003</v>
      </c>
      <c r="X26" s="13">
        <f>'Base de données indicateurs1'!X22</f>
        <v>7580.37</v>
      </c>
      <c r="Y26" s="13">
        <f>'Base de données indicateurs1'!Y22</f>
        <v>136098.04999999999</v>
      </c>
      <c r="Z26" s="13">
        <f>'Base de données indicateurs1'!Z22</f>
        <v>19209.949999999997</v>
      </c>
      <c r="AA26" s="13">
        <f>'Base de données indicateurs1'!AA22</f>
        <v>16817.96</v>
      </c>
      <c r="AB26" s="13">
        <f>'Base de données indicateurs1'!AB22</f>
        <v>77250.570000000007</v>
      </c>
      <c r="AC26" s="13">
        <f>'Base de données indicateurs1'!AC22</f>
        <v>72852</v>
      </c>
      <c r="AD26" s="13">
        <f>'Base de données indicateurs1'!AD22</f>
        <v>45431.34</v>
      </c>
      <c r="AE26" s="13">
        <f>'Base de données indicateurs1'!AE22</f>
        <v>53681.71</v>
      </c>
      <c r="AF26" s="13">
        <f>'Base de données indicateurs1'!AF22</f>
        <v>217881.93</v>
      </c>
      <c r="AG26" s="13">
        <f>'Base de données indicateurs1'!AG22</f>
        <v>161021.28</v>
      </c>
      <c r="AH26" s="13">
        <f>'Base de données indicateurs1'!AH22</f>
        <v>20659.689999999999</v>
      </c>
      <c r="AI26" s="13">
        <f>'Base de données indicateurs1'!AI22</f>
        <v>23787.26</v>
      </c>
      <c r="AJ26" s="13">
        <f>'Base de données indicateurs1'!AJ22</f>
        <v>193072.96000000002</v>
      </c>
      <c r="AK26" s="13">
        <f>'Base de données indicateurs1'!AK22</f>
        <v>182401.51</v>
      </c>
      <c r="AL26" s="13">
        <f>'Base de données indicateurs1'!AL22</f>
        <v>165140.11999999997</v>
      </c>
      <c r="AM26" s="13">
        <f>'Base de données indicateurs1'!AM22</f>
        <v>20139.04</v>
      </c>
      <c r="AN26" s="13">
        <f>'Base de données indicateurs1'!AN22</f>
        <v>210422.44</v>
      </c>
      <c r="AO26" s="13">
        <f>'Base de données indicateurs1'!AO22</f>
        <v>104632.8</v>
      </c>
      <c r="AP26" s="13">
        <f>'Base de données indicateurs1'!AP22</f>
        <v>79824.19</v>
      </c>
      <c r="AQ26" s="13">
        <f>'Base de données indicateurs1'!AQ22</f>
        <v>253951.61</v>
      </c>
      <c r="AR26" s="13">
        <f>'Base de données indicateurs1'!AR22</f>
        <v>71889.08</v>
      </c>
      <c r="AS26" s="13">
        <f>'Base de données indicateurs1'!AS22</f>
        <v>153944.44</v>
      </c>
      <c r="AT26" s="13">
        <f>'Base de données indicateurs1'!AT22</f>
        <v>21291.29</v>
      </c>
      <c r="AU26" s="13">
        <f>'Base de données indicateurs1'!AU22</f>
        <v>221196.53</v>
      </c>
      <c r="AV26" s="13">
        <f>'Base de données indicateurs1'!AV22</f>
        <v>75014.080000000002</v>
      </c>
      <c r="AW26" s="13">
        <f>'Base de données indicateurs1'!AW22</f>
        <v>10117.4</v>
      </c>
      <c r="AX26" s="13">
        <f>'Base de données indicateurs1'!AX22</f>
        <v>16170.03</v>
      </c>
      <c r="AY26" s="13">
        <f>'Base de données indicateurs1'!AY22</f>
        <v>302800.28999999998</v>
      </c>
      <c r="AZ26" s="13">
        <f>'Base de données indicateurs1'!AZ22</f>
        <v>48153.61</v>
      </c>
      <c r="BA26" s="13">
        <f>'Base de données indicateurs1'!BA22</f>
        <v>154613.01999999999</v>
      </c>
      <c r="BB26" s="13">
        <f>'Base de données indicateurs1'!BB22</f>
        <v>1219904.48</v>
      </c>
      <c r="BC26" s="13">
        <f>'Base de données indicateurs1'!BC22</f>
        <v>69127.08</v>
      </c>
      <c r="BD26" s="13">
        <f t="shared" ref="BD26:BD31" si="4">SUM(E26:W26)</f>
        <v>5671777.1699999999</v>
      </c>
      <c r="BE26" s="13">
        <f t="shared" ref="BE26:BE31" si="5">SUM(X26:AI26)</f>
        <v>852272.11</v>
      </c>
      <c r="BF26" s="13">
        <f t="shared" ref="BF26:BF31" si="6">SUM(AJ26:BC26)</f>
        <v>3573806</v>
      </c>
      <c r="BI26" s="13"/>
    </row>
    <row r="27" spans="1:61" x14ac:dyDescent="0.2">
      <c r="A27" s="158" t="s">
        <v>277</v>
      </c>
      <c r="B27" s="159" t="s">
        <v>222</v>
      </c>
      <c r="C27" s="158">
        <v>440</v>
      </c>
      <c r="D27" s="160">
        <f>'Base de données indicateurs1'!BD41</f>
        <v>3615721.9499999988</v>
      </c>
      <c r="E27" s="13">
        <f>'Base de données indicateurs1'!E41</f>
        <v>41590.01</v>
      </c>
      <c r="F27" s="13">
        <f>'Base de données indicateurs1'!F41</f>
        <v>5897.59</v>
      </c>
      <c r="G27" s="13">
        <f>'Base de données indicateurs1'!G41</f>
        <v>16077.69</v>
      </c>
      <c r="H27" s="13">
        <f>'Base de données indicateurs1'!H41</f>
        <v>7211.04</v>
      </c>
      <c r="I27" s="13">
        <f>'Base de données indicateurs1'!I41</f>
        <v>118201.59</v>
      </c>
      <c r="J27" s="13">
        <f>'Base de données indicateurs1'!J41</f>
        <v>94570.16</v>
      </c>
      <c r="K27" s="13">
        <f>'Base de données indicateurs1'!K41</f>
        <v>61629.97</v>
      </c>
      <c r="L27" s="13">
        <f>'Base de données indicateurs1'!L41</f>
        <v>1060688.7</v>
      </c>
      <c r="M27" s="13">
        <f>'Base de données indicateurs1'!M41</f>
        <v>41934.67</v>
      </c>
      <c r="N27" s="13">
        <f>'Base de données indicateurs1'!N41</f>
        <v>1151.8900000000001</v>
      </c>
      <c r="O27" s="13">
        <f>'Base de données indicateurs1'!O41</f>
        <v>187957.74</v>
      </c>
      <c r="P27" s="13">
        <f>'Base de données indicateurs1'!P41</f>
        <v>8150.67</v>
      </c>
      <c r="Q27" s="13">
        <f>'Base de données indicateurs1'!Q41</f>
        <v>2227.9899999999998</v>
      </c>
      <c r="R27" s="13">
        <f>'Base de données indicateurs1'!R41</f>
        <v>13921.52</v>
      </c>
      <c r="S27" s="13">
        <f>'Base de données indicateurs1'!S41</f>
        <v>9163.36</v>
      </c>
      <c r="T27" s="13">
        <f>'Base de données indicateurs1'!T41</f>
        <v>30783.5</v>
      </c>
      <c r="U27" s="13">
        <f>'Base de données indicateurs1'!U41</f>
        <v>6146.02</v>
      </c>
      <c r="V27" s="13">
        <f>'Base de données indicateurs1'!V41</f>
        <v>17282.080000000002</v>
      </c>
      <c r="W27" s="13">
        <f>'Base de données indicateurs1'!W41</f>
        <v>88393.21</v>
      </c>
      <c r="X27" s="13">
        <f>'Base de données indicateurs1'!X41</f>
        <v>9968.2099999999991</v>
      </c>
      <c r="Y27" s="13">
        <f>'Base de données indicateurs1'!Y41</f>
        <v>61988.41</v>
      </c>
      <c r="Z27" s="13">
        <f>'Base de données indicateurs1'!Z41</f>
        <v>163256.82</v>
      </c>
      <c r="AA27" s="13">
        <f>'Base de données indicateurs1'!AA41</f>
        <v>4939.1000000000004</v>
      </c>
      <c r="AB27" s="13">
        <f>'Base de données indicateurs1'!AB41</f>
        <v>17859.07</v>
      </c>
      <c r="AC27" s="13">
        <f>'Base de données indicateurs1'!AC41</f>
        <v>12477.43</v>
      </c>
      <c r="AD27" s="13">
        <f>'Base de données indicateurs1'!AD41</f>
        <v>20898.86</v>
      </c>
      <c r="AE27" s="13">
        <f>'Base de données indicateurs1'!AE41</f>
        <v>12743.48</v>
      </c>
      <c r="AF27" s="13">
        <f>'Base de données indicateurs1'!AF41</f>
        <v>53241.17</v>
      </c>
      <c r="AG27" s="13">
        <f>'Base de données indicateurs1'!AG41</f>
        <v>93461.4</v>
      </c>
      <c r="AH27" s="13">
        <f>'Base de données indicateurs1'!AH41</f>
        <v>12970.67</v>
      </c>
      <c r="AI27" s="13">
        <f>'Base de données indicateurs1'!AI41</f>
        <v>2819.68</v>
      </c>
      <c r="AJ27" s="13">
        <f>'Base de données indicateurs1'!AJ41</f>
        <v>84068.94</v>
      </c>
      <c r="AK27" s="13">
        <f>'Base de données indicateurs1'!AK41</f>
        <v>120458.13</v>
      </c>
      <c r="AL27" s="13">
        <f>'Base de données indicateurs1'!AL41</f>
        <v>48407.38</v>
      </c>
      <c r="AM27" s="13">
        <f>'Base de données indicateurs1'!AM41</f>
        <v>8035.44</v>
      </c>
      <c r="AN27" s="13">
        <f>'Base de données indicateurs1'!AN41</f>
        <v>53601.1</v>
      </c>
      <c r="AO27" s="13">
        <f>'Base de données indicateurs1'!AO41</f>
        <v>44757.07</v>
      </c>
      <c r="AP27" s="13">
        <f>'Base de données indicateurs1'!AP41</f>
        <v>29251.75</v>
      </c>
      <c r="AQ27" s="13">
        <f>'Base de données indicateurs1'!AQ41</f>
        <v>36630.949999999997</v>
      </c>
      <c r="AR27" s="13">
        <f>'Base de données indicateurs1'!AR41</f>
        <v>37519.21</v>
      </c>
      <c r="AS27" s="13">
        <f>'Base de données indicateurs1'!AS41</f>
        <v>54043.43</v>
      </c>
      <c r="AT27" s="13">
        <f>'Base de données indicateurs1'!AT41</f>
        <v>9061.76</v>
      </c>
      <c r="AU27" s="13">
        <f>'Base de données indicateurs1'!AU41</f>
        <v>93439.88</v>
      </c>
      <c r="AV27" s="13">
        <f>'Base de données indicateurs1'!AV41</f>
        <v>20608.8</v>
      </c>
      <c r="AW27" s="13">
        <f>'Base de données indicateurs1'!AW41</f>
        <v>15776.19</v>
      </c>
      <c r="AX27" s="13">
        <f>'Base de données indicateurs1'!AX41</f>
        <v>12253.09</v>
      </c>
      <c r="AY27" s="13">
        <f>'Base de données indicateurs1'!AY41</f>
        <v>76069.14</v>
      </c>
      <c r="AZ27" s="13">
        <f>'Base de données indicateurs1'!AZ41</f>
        <v>25432.080000000002</v>
      </c>
      <c r="BA27" s="13">
        <f>'Base de données indicateurs1'!BA41</f>
        <v>54826.23</v>
      </c>
      <c r="BB27" s="13">
        <f>'Base de données indicateurs1'!BB41</f>
        <v>443493.63</v>
      </c>
      <c r="BC27" s="13">
        <f>'Base de données indicateurs1'!BC41</f>
        <v>68384.05</v>
      </c>
      <c r="BD27" s="13">
        <f t="shared" si="4"/>
        <v>1812979.4</v>
      </c>
      <c r="BE27" s="13">
        <f t="shared" si="5"/>
        <v>466624.29999999993</v>
      </c>
      <c r="BF27" s="13">
        <f t="shared" si="6"/>
        <v>1336118.25</v>
      </c>
      <c r="BI27" s="13"/>
    </row>
    <row r="28" spans="1:61" x14ac:dyDescent="0.2">
      <c r="A28" s="158" t="s">
        <v>541</v>
      </c>
      <c r="B28" s="159" t="s">
        <v>222</v>
      </c>
      <c r="C28" s="158">
        <v>441</v>
      </c>
      <c r="D28" s="160">
        <f>'Base de données indicateurs1'!BD42</f>
        <v>688618.41</v>
      </c>
      <c r="E28" s="13">
        <f>'Base de données indicateurs1'!E42</f>
        <v>0</v>
      </c>
      <c r="F28" s="13">
        <f>'Base de données indicateurs1'!F42</f>
        <v>0</v>
      </c>
      <c r="G28" s="13">
        <f>'Base de données indicateurs1'!G42</f>
        <v>0</v>
      </c>
      <c r="H28" s="13">
        <f>'Base de données indicateurs1'!H42</f>
        <v>0</v>
      </c>
      <c r="I28" s="13">
        <f>'Base de données indicateurs1'!I42</f>
        <v>0</v>
      </c>
      <c r="J28" s="13">
        <f>'Base de données indicateurs1'!J42</f>
        <v>0</v>
      </c>
      <c r="K28" s="13">
        <f>'Base de données indicateurs1'!K42</f>
        <v>0</v>
      </c>
      <c r="L28" s="13">
        <f>'Base de données indicateurs1'!L42</f>
        <v>0</v>
      </c>
      <c r="M28" s="13">
        <f>'Base de données indicateurs1'!M42</f>
        <v>0</v>
      </c>
      <c r="N28" s="13">
        <f>'Base de données indicateurs1'!N42</f>
        <v>0</v>
      </c>
      <c r="O28" s="13">
        <f>'Base de données indicateurs1'!O42</f>
        <v>282677.28000000003</v>
      </c>
      <c r="P28" s="13">
        <f>'Base de données indicateurs1'!P42</f>
        <v>0</v>
      </c>
      <c r="Q28" s="13">
        <f>'Base de données indicateurs1'!Q42</f>
        <v>0</v>
      </c>
      <c r="R28" s="13">
        <f>'Base de données indicateurs1'!R42</f>
        <v>0</v>
      </c>
      <c r="S28" s="13">
        <f>'Base de données indicateurs1'!S42</f>
        <v>0</v>
      </c>
      <c r="T28" s="13">
        <f>'Base de données indicateurs1'!T42</f>
        <v>0</v>
      </c>
      <c r="U28" s="13">
        <f>'Base de données indicateurs1'!U42</f>
        <v>0</v>
      </c>
      <c r="V28" s="13">
        <f>'Base de données indicateurs1'!V42</f>
        <v>0</v>
      </c>
      <c r="W28" s="13">
        <f>'Base de données indicateurs1'!W42</f>
        <v>32634.63</v>
      </c>
      <c r="X28" s="13">
        <f>'Base de données indicateurs1'!X42</f>
        <v>0</v>
      </c>
      <c r="Y28" s="13">
        <f>'Base de données indicateurs1'!Y42</f>
        <v>0</v>
      </c>
      <c r="Z28" s="13">
        <f>'Base de données indicateurs1'!Z42</f>
        <v>0</v>
      </c>
      <c r="AA28" s="13">
        <f>'Base de données indicateurs1'!AA42</f>
        <v>0</v>
      </c>
      <c r="AB28" s="13">
        <f>'Base de données indicateurs1'!AB42</f>
        <v>0</v>
      </c>
      <c r="AC28" s="13">
        <f>'Base de données indicateurs1'!AC42</f>
        <v>24223</v>
      </c>
      <c r="AD28" s="13">
        <f>'Base de données indicateurs1'!AD42</f>
        <v>0</v>
      </c>
      <c r="AE28" s="13">
        <f>'Base de données indicateurs1'!AE42</f>
        <v>340550</v>
      </c>
      <c r="AF28" s="13">
        <f>'Base de données indicateurs1'!AF42</f>
        <v>0</v>
      </c>
      <c r="AG28" s="13">
        <f>'Base de données indicateurs1'!AG42</f>
        <v>1382.5</v>
      </c>
      <c r="AH28" s="13">
        <f>'Base de données indicateurs1'!AH42</f>
        <v>0</v>
      </c>
      <c r="AI28" s="13">
        <f>'Base de données indicateurs1'!AI42</f>
        <v>3521</v>
      </c>
      <c r="AJ28" s="13">
        <f>'Base de données indicateurs1'!AJ42</f>
        <v>0</v>
      </c>
      <c r="AK28" s="13">
        <f>'Base de données indicateurs1'!AK42</f>
        <v>0</v>
      </c>
      <c r="AL28" s="13">
        <f>'Base de données indicateurs1'!AL42</f>
        <v>0</v>
      </c>
      <c r="AM28" s="13">
        <f>'Base de données indicateurs1'!AM42</f>
        <v>0</v>
      </c>
      <c r="AN28" s="13">
        <f>'Base de données indicateurs1'!AN42</f>
        <v>790</v>
      </c>
      <c r="AO28" s="13">
        <f>'Base de données indicateurs1'!AO42</f>
        <v>0</v>
      </c>
      <c r="AP28" s="13">
        <f>'Base de données indicateurs1'!AP42</f>
        <v>0</v>
      </c>
      <c r="AQ28" s="13">
        <f>'Base de données indicateurs1'!AQ42</f>
        <v>2840</v>
      </c>
      <c r="AR28" s="13">
        <f>'Base de données indicateurs1'!AR42</f>
        <v>0</v>
      </c>
      <c r="AS28" s="13">
        <f>'Base de données indicateurs1'!AS42</f>
        <v>0</v>
      </c>
      <c r="AT28" s="13">
        <f>'Base de données indicateurs1'!AT42</f>
        <v>0</v>
      </c>
      <c r="AU28" s="13">
        <f>'Base de données indicateurs1'!AU42</f>
        <v>0</v>
      </c>
      <c r="AV28" s="13">
        <f>'Base de données indicateurs1'!AV42</f>
        <v>0</v>
      </c>
      <c r="AW28" s="13">
        <f>'Base de données indicateurs1'!AW42</f>
        <v>0</v>
      </c>
      <c r="AX28" s="13">
        <f>'Base de données indicateurs1'!AX42</f>
        <v>0</v>
      </c>
      <c r="AY28" s="13">
        <f>'Base de données indicateurs1'!AY42</f>
        <v>0</v>
      </c>
      <c r="AZ28" s="13">
        <f>'Base de données indicateurs1'!AZ42</f>
        <v>0</v>
      </c>
      <c r="BA28" s="13">
        <f>'Base de données indicateurs1'!BA42</f>
        <v>0</v>
      </c>
      <c r="BB28" s="13">
        <f>'Base de données indicateurs1'!BB42</f>
        <v>0</v>
      </c>
      <c r="BC28" s="13">
        <f>'Base de données indicateurs1'!BC42</f>
        <v>0</v>
      </c>
      <c r="BD28" s="13">
        <f t="shared" si="4"/>
        <v>315311.91000000003</v>
      </c>
      <c r="BE28" s="13">
        <f t="shared" si="5"/>
        <v>369676.5</v>
      </c>
      <c r="BF28" s="13">
        <f t="shared" si="6"/>
        <v>3630</v>
      </c>
      <c r="BI28" s="13"/>
    </row>
    <row r="29" spans="1:61" x14ac:dyDescent="0.2">
      <c r="A29" s="158" t="s">
        <v>542</v>
      </c>
      <c r="B29" s="159" t="s">
        <v>222</v>
      </c>
      <c r="C29" s="158">
        <v>442</v>
      </c>
      <c r="D29" s="160">
        <f>'Base de données indicateurs1'!BD43</f>
        <v>172910.81</v>
      </c>
      <c r="E29" s="13">
        <f>'Base de données indicateurs1'!E43</f>
        <v>1152.2</v>
      </c>
      <c r="F29" s="13">
        <f>'Base de données indicateurs1'!F43</f>
        <v>0</v>
      </c>
      <c r="G29" s="13">
        <f>'Base de données indicateurs1'!G43</f>
        <v>0</v>
      </c>
      <c r="H29" s="13">
        <f>'Base de données indicateurs1'!H43</f>
        <v>0</v>
      </c>
      <c r="I29" s="13">
        <f>'Base de données indicateurs1'!I43</f>
        <v>9946.5</v>
      </c>
      <c r="J29" s="13">
        <f>'Base de données indicateurs1'!J43</f>
        <v>2039.5</v>
      </c>
      <c r="K29" s="13">
        <f>'Base de données indicateurs1'!K43</f>
        <v>0</v>
      </c>
      <c r="L29" s="13">
        <f>'Base de données indicateurs1'!L43</f>
        <v>43573</v>
      </c>
      <c r="M29" s="13">
        <f>'Base de données indicateurs1'!M43</f>
        <v>0</v>
      </c>
      <c r="N29" s="13">
        <f>'Base de données indicateurs1'!N43</f>
        <v>0</v>
      </c>
      <c r="O29" s="13">
        <f>'Base de données indicateurs1'!O43</f>
        <v>5156.5</v>
      </c>
      <c r="P29" s="13">
        <f>'Base de données indicateurs1'!P43</f>
        <v>0</v>
      </c>
      <c r="Q29" s="13">
        <f>'Base de données indicateurs1'!Q43</f>
        <v>23</v>
      </c>
      <c r="R29" s="13">
        <f>'Base de données indicateurs1'!R43</f>
        <v>0</v>
      </c>
      <c r="S29" s="13">
        <f>'Base de données indicateurs1'!S43</f>
        <v>3.57</v>
      </c>
      <c r="T29" s="13">
        <f>'Base de données indicateurs1'!T43</f>
        <v>1357.5</v>
      </c>
      <c r="U29" s="13">
        <f>'Base de données indicateurs1'!U43</f>
        <v>0</v>
      </c>
      <c r="V29" s="13">
        <f>'Base de données indicateurs1'!V43</f>
        <v>0</v>
      </c>
      <c r="W29" s="13">
        <f>'Base de données indicateurs1'!W43</f>
        <v>229</v>
      </c>
      <c r="X29" s="13">
        <f>'Base de données indicateurs1'!X43</f>
        <v>5</v>
      </c>
      <c r="Y29" s="13">
        <f>'Base de données indicateurs1'!Y43</f>
        <v>0</v>
      </c>
      <c r="Z29" s="13">
        <f>'Base de données indicateurs1'!Z43</f>
        <v>0</v>
      </c>
      <c r="AA29" s="13">
        <f>'Base de données indicateurs1'!AA43</f>
        <v>0</v>
      </c>
      <c r="AB29" s="13">
        <f>'Base de données indicateurs1'!AB43</f>
        <v>0</v>
      </c>
      <c r="AC29" s="13">
        <f>'Base de données indicateurs1'!AC43</f>
        <v>17.5</v>
      </c>
      <c r="AD29" s="13">
        <f>'Base de données indicateurs1'!AD43</f>
        <v>0</v>
      </c>
      <c r="AE29" s="13">
        <f>'Base de données indicateurs1'!AE43</f>
        <v>0</v>
      </c>
      <c r="AF29" s="13">
        <f>'Base de données indicateurs1'!AF43</f>
        <v>13355</v>
      </c>
      <c r="AG29" s="13">
        <f>'Base de données indicateurs1'!AG43</f>
        <v>40500</v>
      </c>
      <c r="AH29" s="13">
        <f>'Base de données indicateurs1'!AH43</f>
        <v>0</v>
      </c>
      <c r="AI29" s="13">
        <f>'Base de données indicateurs1'!AI43</f>
        <v>0</v>
      </c>
      <c r="AJ29" s="13">
        <f>'Base de données indicateurs1'!AJ43</f>
        <v>0</v>
      </c>
      <c r="AK29" s="13">
        <f>'Base de données indicateurs1'!AK43</f>
        <v>2430</v>
      </c>
      <c r="AL29" s="13">
        <f>'Base de données indicateurs1'!AL43</f>
        <v>0</v>
      </c>
      <c r="AM29" s="13">
        <f>'Base de données indicateurs1'!AM43</f>
        <v>0</v>
      </c>
      <c r="AN29" s="13">
        <f>'Base de données indicateurs1'!AN43</f>
        <v>0</v>
      </c>
      <c r="AO29" s="13">
        <f>'Base de données indicateurs1'!AO43</f>
        <v>40</v>
      </c>
      <c r="AP29" s="13">
        <f>'Base de données indicateurs1'!AP43</f>
        <v>0</v>
      </c>
      <c r="AQ29" s="13">
        <f>'Base de données indicateurs1'!AQ43</f>
        <v>12167.75</v>
      </c>
      <c r="AR29" s="13">
        <f>'Base de données indicateurs1'!AR43</f>
        <v>0</v>
      </c>
      <c r="AS29" s="13">
        <f>'Base de données indicateurs1'!AS43</f>
        <v>380</v>
      </c>
      <c r="AT29" s="13">
        <f>'Base de données indicateurs1'!AT43</f>
        <v>0</v>
      </c>
      <c r="AU29" s="13">
        <f>'Base de données indicateurs1'!AU43</f>
        <v>1647.5</v>
      </c>
      <c r="AV29" s="13">
        <f>'Base de données indicateurs1'!AV43</f>
        <v>3367.25</v>
      </c>
      <c r="AW29" s="13">
        <f>'Base de données indicateurs1'!AW43</f>
        <v>0</v>
      </c>
      <c r="AX29" s="13">
        <f>'Base de données indicateurs1'!AX43</f>
        <v>0</v>
      </c>
      <c r="AY29" s="13">
        <f>'Base de données indicateurs1'!AY43</f>
        <v>0</v>
      </c>
      <c r="AZ29" s="13">
        <f>'Base de données indicateurs1'!AZ43</f>
        <v>0</v>
      </c>
      <c r="BA29" s="13">
        <f>'Base de données indicateurs1'!BA43</f>
        <v>1088.43</v>
      </c>
      <c r="BB29" s="13">
        <f>'Base de données indicateurs1'!BB43</f>
        <v>34411.61</v>
      </c>
      <c r="BC29" s="13">
        <f>'Base de données indicateurs1'!BC43</f>
        <v>20</v>
      </c>
      <c r="BD29" s="13">
        <f t="shared" si="4"/>
        <v>63480.77</v>
      </c>
      <c r="BE29" s="13">
        <f t="shared" si="5"/>
        <v>53877.5</v>
      </c>
      <c r="BF29" s="13">
        <f t="shared" si="6"/>
        <v>55552.54</v>
      </c>
      <c r="BI29" s="13"/>
    </row>
    <row r="30" spans="1:61" x14ac:dyDescent="0.2">
      <c r="A30" s="158" t="s">
        <v>543</v>
      </c>
      <c r="B30" s="159" t="s">
        <v>222</v>
      </c>
      <c r="C30" s="158">
        <v>443</v>
      </c>
      <c r="D30" s="160">
        <f>'Base de données indicateurs1'!BD44</f>
        <v>4781530.5999999996</v>
      </c>
      <c r="E30" s="13">
        <f>'Base de données indicateurs1'!E44</f>
        <v>23711.5</v>
      </c>
      <c r="F30" s="13">
        <f>'Base de données indicateurs1'!F44</f>
        <v>22320</v>
      </c>
      <c r="G30" s="13">
        <f>'Base de données indicateurs1'!G44</f>
        <v>113427.2</v>
      </c>
      <c r="H30" s="13">
        <f>'Base de données indicateurs1'!H44</f>
        <v>78099</v>
      </c>
      <c r="I30" s="13">
        <f>'Base de données indicateurs1'!I44</f>
        <v>373832.85</v>
      </c>
      <c r="J30" s="13">
        <f>'Base de données indicateurs1'!J44</f>
        <v>136680</v>
      </c>
      <c r="K30" s="13">
        <f>'Base de données indicateurs1'!K44</f>
        <v>130178.6</v>
      </c>
      <c r="L30" s="13">
        <f>'Base de données indicateurs1'!L44</f>
        <v>1138534.74</v>
      </c>
      <c r="M30" s="13">
        <f>'Base de données indicateurs1'!M44</f>
        <v>17428.8</v>
      </c>
      <c r="N30" s="13">
        <f>'Base de données indicateurs1'!N44</f>
        <v>21600</v>
      </c>
      <c r="O30" s="13">
        <f>'Base de données indicateurs1'!O44</f>
        <v>105774.25</v>
      </c>
      <c r="P30" s="13">
        <f>'Base de données indicateurs1'!P44</f>
        <v>24970</v>
      </c>
      <c r="Q30" s="13">
        <f>'Base de données indicateurs1'!Q44</f>
        <v>10140</v>
      </c>
      <c r="R30" s="13">
        <f>'Base de données indicateurs1'!R44</f>
        <v>28680</v>
      </c>
      <c r="S30" s="13">
        <f>'Base de données indicateurs1'!S44</f>
        <v>14800</v>
      </c>
      <c r="T30" s="13">
        <f>'Base de données indicateurs1'!T44</f>
        <v>58165.48</v>
      </c>
      <c r="U30" s="13">
        <f>'Base de données indicateurs1'!U44</f>
        <v>0</v>
      </c>
      <c r="V30" s="13">
        <f>'Base de données indicateurs1'!V44</f>
        <v>20375</v>
      </c>
      <c r="W30" s="13">
        <f>'Base de données indicateurs1'!W44</f>
        <v>140488.04999999999</v>
      </c>
      <c r="X30" s="13">
        <f>'Base de données indicateurs1'!X44</f>
        <v>1410</v>
      </c>
      <c r="Y30" s="13">
        <f>'Base de données indicateurs1'!Y44</f>
        <v>42265</v>
      </c>
      <c r="Z30" s="13">
        <f>'Base de données indicateurs1'!Z44</f>
        <v>268889</v>
      </c>
      <c r="AA30" s="13">
        <f>'Base de données indicateurs1'!AA44</f>
        <v>25870</v>
      </c>
      <c r="AB30" s="13">
        <f>'Base de données indicateurs1'!AB44</f>
        <v>49639.55</v>
      </c>
      <c r="AC30" s="13">
        <f>'Base de données indicateurs1'!AC44</f>
        <v>78045.7</v>
      </c>
      <c r="AD30" s="13">
        <f>'Base de données indicateurs1'!AD44</f>
        <v>1661</v>
      </c>
      <c r="AE30" s="13">
        <f>'Base de données indicateurs1'!AE44</f>
        <v>78894.100000000006</v>
      </c>
      <c r="AF30" s="13">
        <f>'Base de données indicateurs1'!AF44</f>
        <v>88679.35</v>
      </c>
      <c r="AG30" s="13">
        <f>'Base de données indicateurs1'!AG44</f>
        <v>36849.800000000003</v>
      </c>
      <c r="AH30" s="13">
        <f>'Base de données indicateurs1'!AH44</f>
        <v>548.08000000000004</v>
      </c>
      <c r="AI30" s="13">
        <f>'Base de données indicateurs1'!AI44</f>
        <v>25580</v>
      </c>
      <c r="AJ30" s="13">
        <f>'Base de données indicateurs1'!AJ44</f>
        <v>0</v>
      </c>
      <c r="AK30" s="13">
        <f>'Base de données indicateurs1'!AK44</f>
        <v>137178.45000000001</v>
      </c>
      <c r="AL30" s="13">
        <f>'Base de données indicateurs1'!AL44</f>
        <v>67045.350000000006</v>
      </c>
      <c r="AM30" s="13">
        <f>'Base de données indicateurs1'!AM44</f>
        <v>8548.4</v>
      </c>
      <c r="AN30" s="13">
        <f>'Base de données indicateurs1'!AN44</f>
        <v>211748.73</v>
      </c>
      <c r="AO30" s="13">
        <f>'Base de données indicateurs1'!AO44</f>
        <v>25423.5</v>
      </c>
      <c r="AP30" s="13">
        <f>'Base de données indicateurs1'!AP44</f>
        <v>16068.55</v>
      </c>
      <c r="AQ30" s="13">
        <f>'Base de données indicateurs1'!AQ44</f>
        <v>415913.9</v>
      </c>
      <c r="AR30" s="13">
        <f>'Base de données indicateurs1'!AR44</f>
        <v>20122.400000000001</v>
      </c>
      <c r="AS30" s="13">
        <f>'Base de données indicateurs1'!AS44</f>
        <v>69256.95</v>
      </c>
      <c r="AT30" s="13">
        <f>'Base de données indicateurs1'!AT44</f>
        <v>29207.8</v>
      </c>
      <c r="AU30" s="13">
        <f>'Base de données indicateurs1'!AU44</f>
        <v>0</v>
      </c>
      <c r="AV30" s="13">
        <f>'Base de données indicateurs1'!AV44</f>
        <v>25353.55</v>
      </c>
      <c r="AW30" s="13">
        <f>'Base de données indicateurs1'!AW44</f>
        <v>6759.95</v>
      </c>
      <c r="AX30" s="13">
        <f>'Base de données indicateurs1'!AX44</f>
        <v>39581.800000000003</v>
      </c>
      <c r="AY30" s="13">
        <f>'Base de données indicateurs1'!AY44</f>
        <v>62597.8</v>
      </c>
      <c r="AZ30" s="13">
        <f>'Base de données indicateurs1'!AZ44</f>
        <v>33449.699999999997</v>
      </c>
      <c r="BA30" s="13">
        <f>'Base de données indicateurs1'!BA44</f>
        <v>95569.55</v>
      </c>
      <c r="BB30" s="13">
        <f>'Base de données indicateurs1'!BB44</f>
        <v>316883.3</v>
      </c>
      <c r="BC30" s="13">
        <f>'Base de données indicateurs1'!BC44</f>
        <v>43283.87</v>
      </c>
      <c r="BD30" s="13">
        <f t="shared" si="4"/>
        <v>2459205.4700000002</v>
      </c>
      <c r="BE30" s="13">
        <f t="shared" si="5"/>
        <v>698331.58</v>
      </c>
      <c r="BF30" s="13">
        <f t="shared" si="6"/>
        <v>1623993.5500000003</v>
      </c>
      <c r="BI30" s="13"/>
    </row>
    <row r="31" spans="1:61" x14ac:dyDescent="0.2">
      <c r="A31" s="158" t="s">
        <v>544</v>
      </c>
      <c r="B31" s="159" t="s">
        <v>222</v>
      </c>
      <c r="C31" s="158">
        <v>444</v>
      </c>
      <c r="D31" s="160">
        <f>'Base de données indicateurs1'!BD45</f>
        <v>3838549.16</v>
      </c>
      <c r="E31" s="13">
        <f>'Base de données indicateurs1'!E45</f>
        <v>0</v>
      </c>
      <c r="F31" s="13">
        <f>'Base de données indicateurs1'!F45</f>
        <v>0</v>
      </c>
      <c r="G31" s="13">
        <f>'Base de données indicateurs1'!G45</f>
        <v>224370.76</v>
      </c>
      <c r="H31" s="13">
        <f>'Base de données indicateurs1'!H45</f>
        <v>0</v>
      </c>
      <c r="I31" s="13">
        <f>'Base de données indicateurs1'!I45</f>
        <v>50600</v>
      </c>
      <c r="J31" s="13">
        <f>'Base de données indicateurs1'!J45</f>
        <v>0</v>
      </c>
      <c r="K31" s="13">
        <f>'Base de données indicateurs1'!K45</f>
        <v>0</v>
      </c>
      <c r="L31" s="13">
        <f>'Base de données indicateurs1'!L45</f>
        <v>1925593.4</v>
      </c>
      <c r="M31" s="13">
        <f>'Base de données indicateurs1'!M45</f>
        <v>0</v>
      </c>
      <c r="N31" s="13">
        <f>'Base de données indicateurs1'!N45</f>
        <v>0</v>
      </c>
      <c r="O31" s="13">
        <f>'Base de données indicateurs1'!O45</f>
        <v>18400</v>
      </c>
      <c r="P31" s="13">
        <f>'Base de données indicateurs1'!P45</f>
        <v>0</v>
      </c>
      <c r="Q31" s="13">
        <f>'Base de données indicateurs1'!Q45</f>
        <v>0</v>
      </c>
      <c r="R31" s="13">
        <f>'Base de données indicateurs1'!R45</f>
        <v>205200</v>
      </c>
      <c r="S31" s="13">
        <f>'Base de données indicateurs1'!S45</f>
        <v>72100</v>
      </c>
      <c r="T31" s="13">
        <f>'Base de données indicateurs1'!T45</f>
        <v>737.8</v>
      </c>
      <c r="U31" s="13">
        <f>'Base de données indicateurs1'!U45</f>
        <v>22550</v>
      </c>
      <c r="V31" s="13">
        <f>'Base de données indicateurs1'!V45</f>
        <v>0</v>
      </c>
      <c r="W31" s="13">
        <f>'Base de données indicateurs1'!W45</f>
        <v>-200</v>
      </c>
      <c r="X31" s="13">
        <f>'Base de données indicateurs1'!X45</f>
        <v>0</v>
      </c>
      <c r="Y31" s="13">
        <f>'Base de données indicateurs1'!Y45</f>
        <v>0</v>
      </c>
      <c r="Z31" s="13">
        <f>'Base de données indicateurs1'!Z45</f>
        <v>0</v>
      </c>
      <c r="AA31" s="13">
        <f>'Base de données indicateurs1'!AA45</f>
        <v>9128</v>
      </c>
      <c r="AB31" s="13">
        <f>'Base de données indicateurs1'!AB45</f>
        <v>9200</v>
      </c>
      <c r="AC31" s="13">
        <f>'Base de données indicateurs1'!AC45</f>
        <v>0</v>
      </c>
      <c r="AD31" s="13">
        <f>'Base de données indicateurs1'!AD45</f>
        <v>325</v>
      </c>
      <c r="AE31" s="13">
        <f>'Base de données indicateurs1'!AE45</f>
        <v>0</v>
      </c>
      <c r="AF31" s="13">
        <f>'Base de données indicateurs1'!AF45</f>
        <v>73600</v>
      </c>
      <c r="AG31" s="13">
        <f>'Base de données indicateurs1'!AG45</f>
        <v>22925</v>
      </c>
      <c r="AH31" s="13">
        <f>'Base de données indicateurs1'!AH45</f>
        <v>1150</v>
      </c>
      <c r="AI31" s="13">
        <f>'Base de données indicateurs1'!AI45</f>
        <v>0</v>
      </c>
      <c r="AJ31" s="13">
        <f>'Base de données indicateurs1'!AJ45</f>
        <v>0</v>
      </c>
      <c r="AK31" s="13">
        <f>'Base de données indicateurs1'!AK45</f>
        <v>737529.2</v>
      </c>
      <c r="AL31" s="13">
        <f>'Base de données indicateurs1'!AL45</f>
        <v>0</v>
      </c>
      <c r="AM31" s="13">
        <f>'Base de données indicateurs1'!AM45</f>
        <v>0</v>
      </c>
      <c r="AN31" s="13">
        <f>'Base de données indicateurs1'!AN45</f>
        <v>0</v>
      </c>
      <c r="AO31" s="13">
        <f>'Base de données indicateurs1'!AO45</f>
        <v>0</v>
      </c>
      <c r="AP31" s="13">
        <f>'Base de données indicateurs1'!AP45</f>
        <v>0</v>
      </c>
      <c r="AQ31" s="13">
        <f>'Base de données indicateurs1'!AQ45</f>
        <v>0</v>
      </c>
      <c r="AR31" s="13">
        <f>'Base de données indicateurs1'!AR45</f>
        <v>120825</v>
      </c>
      <c r="AS31" s="13">
        <f>'Base de données indicateurs1'!AS45</f>
        <v>0</v>
      </c>
      <c r="AT31" s="13">
        <f>'Base de données indicateurs1'!AT45</f>
        <v>0</v>
      </c>
      <c r="AU31" s="13">
        <f>'Base de données indicateurs1'!AU45</f>
        <v>0</v>
      </c>
      <c r="AV31" s="13">
        <f>'Base de données indicateurs1'!AV45</f>
        <v>4400</v>
      </c>
      <c r="AW31" s="13">
        <f>'Base de données indicateurs1'!AW45</f>
        <v>0</v>
      </c>
      <c r="AX31" s="13">
        <f>'Base de données indicateurs1'!AX45</f>
        <v>0</v>
      </c>
      <c r="AY31" s="13">
        <f>'Base de données indicateurs1'!AY45</f>
        <v>23000</v>
      </c>
      <c r="AZ31" s="13">
        <f>'Base de données indicateurs1'!AZ45</f>
        <v>40</v>
      </c>
      <c r="BA31" s="13">
        <f>'Base de données indicateurs1'!BA45</f>
        <v>9200</v>
      </c>
      <c r="BB31" s="13">
        <f>'Base de données indicateurs1'!BB45</f>
        <v>307875</v>
      </c>
      <c r="BC31" s="13">
        <f>'Base de données indicateurs1'!BC45</f>
        <v>0</v>
      </c>
      <c r="BD31" s="13">
        <f t="shared" si="4"/>
        <v>2519351.96</v>
      </c>
      <c r="BE31" s="13">
        <f t="shared" si="5"/>
        <v>116328</v>
      </c>
      <c r="BF31" s="13">
        <f t="shared" si="6"/>
        <v>1202869.2</v>
      </c>
      <c r="BI31" s="13"/>
    </row>
    <row r="32" spans="1:61" ht="15" thickBot="1" x14ac:dyDescent="0.25">
      <c r="A32" s="161"/>
      <c r="B32" s="162"/>
      <c r="C32" s="161"/>
      <c r="D32" s="163"/>
      <c r="BD32" s="13"/>
      <c r="BE32" s="13"/>
      <c r="BF32" s="13"/>
      <c r="BI32" s="13"/>
    </row>
    <row r="33" spans="1:61" ht="15.75" thickBot="1" x14ac:dyDescent="0.3">
      <c r="A33" s="7" t="s">
        <v>545</v>
      </c>
      <c r="B33" s="108"/>
      <c r="C33" s="7"/>
      <c r="D33" s="164">
        <f>D26-D27-D28-D29-D30-D31</f>
        <v>-2999475.6499999994</v>
      </c>
      <c r="E33" s="173">
        <f>E26-E27-E28-E29-E30-E31</f>
        <v>90191.439999999988</v>
      </c>
      <c r="F33" s="163">
        <f t="shared" ref="F33:BC33" si="7">F26-F27-F28-F29-F30-F31</f>
        <v>13189.910000000003</v>
      </c>
      <c r="G33" s="163">
        <f t="shared" si="7"/>
        <v>-282232.75</v>
      </c>
      <c r="H33" s="163">
        <f t="shared" si="7"/>
        <v>-10223.069999999992</v>
      </c>
      <c r="I33" s="163">
        <f t="shared" si="7"/>
        <v>-86666.699999999953</v>
      </c>
      <c r="J33" s="163">
        <f t="shared" si="7"/>
        <v>130635.18000000005</v>
      </c>
      <c r="K33" s="163">
        <f t="shared" si="7"/>
        <v>33618.600000000006</v>
      </c>
      <c r="L33" s="163">
        <f t="shared" si="7"/>
        <v>-1030810.8799999999</v>
      </c>
      <c r="M33" s="163">
        <f t="shared" si="7"/>
        <v>12090.999999999989</v>
      </c>
      <c r="N33" s="163">
        <f t="shared" si="7"/>
        <v>-16041.55</v>
      </c>
      <c r="O33" s="163">
        <f t="shared" si="7"/>
        <v>-77217.229999999981</v>
      </c>
      <c r="P33" s="163">
        <f t="shared" si="7"/>
        <v>12664.39</v>
      </c>
      <c r="Q33" s="163">
        <f t="shared" si="7"/>
        <v>-1559.5900000000001</v>
      </c>
      <c r="R33" s="163">
        <f t="shared" si="7"/>
        <v>-214863.62</v>
      </c>
      <c r="S33" s="163">
        <f t="shared" si="7"/>
        <v>-27373.509999999987</v>
      </c>
      <c r="T33" s="163">
        <f t="shared" si="7"/>
        <v>-11403.430000000011</v>
      </c>
      <c r="U33" s="163">
        <f t="shared" si="7"/>
        <v>-2094.6499999999978</v>
      </c>
      <c r="V33" s="163">
        <f t="shared" si="7"/>
        <v>5421.9799999999959</v>
      </c>
      <c r="W33" s="163">
        <f t="shared" si="7"/>
        <v>-35877.859999999986</v>
      </c>
      <c r="X33" s="163">
        <f t="shared" si="7"/>
        <v>-3802.8399999999992</v>
      </c>
      <c r="Y33" s="163">
        <f t="shared" si="7"/>
        <v>31844.639999999985</v>
      </c>
      <c r="Z33" s="163">
        <f t="shared" si="7"/>
        <v>-412935.87</v>
      </c>
      <c r="AA33" s="163">
        <f t="shared" si="7"/>
        <v>-23119.14</v>
      </c>
      <c r="AB33" s="163">
        <f t="shared" si="7"/>
        <v>551.95000000000437</v>
      </c>
      <c r="AC33" s="163">
        <f t="shared" si="7"/>
        <v>-41911.629999999997</v>
      </c>
      <c r="AD33" s="163">
        <f t="shared" si="7"/>
        <v>22546.479999999996</v>
      </c>
      <c r="AE33" s="163">
        <f t="shared" si="7"/>
        <v>-378505.87</v>
      </c>
      <c r="AF33" s="163">
        <f t="shared" si="7"/>
        <v>-10993.589999999997</v>
      </c>
      <c r="AG33" s="163">
        <f t="shared" si="7"/>
        <v>-34097.42</v>
      </c>
      <c r="AH33" s="163">
        <f t="shared" si="7"/>
        <v>5990.9399999999987</v>
      </c>
      <c r="AI33" s="163">
        <f t="shared" si="7"/>
        <v>-8133.4200000000019</v>
      </c>
      <c r="AJ33" s="163">
        <f t="shared" si="7"/>
        <v>109004.02000000002</v>
      </c>
      <c r="AK33" s="163">
        <f t="shared" si="7"/>
        <v>-815194.27</v>
      </c>
      <c r="AL33" s="163">
        <f t="shared" si="7"/>
        <v>49687.389999999956</v>
      </c>
      <c r="AM33" s="163">
        <f t="shared" si="7"/>
        <v>3555.2000000000025</v>
      </c>
      <c r="AN33" s="163">
        <f t="shared" si="7"/>
        <v>-55717.390000000014</v>
      </c>
      <c r="AO33" s="163">
        <f t="shared" si="7"/>
        <v>34412.230000000003</v>
      </c>
      <c r="AP33" s="163">
        <f t="shared" si="7"/>
        <v>34503.89</v>
      </c>
      <c r="AQ33" s="163">
        <f t="shared" si="7"/>
        <v>-213600.99000000005</v>
      </c>
      <c r="AR33" s="163">
        <f t="shared" si="7"/>
        <v>-106577.53</v>
      </c>
      <c r="AS33" s="163">
        <f t="shared" si="7"/>
        <v>30264.060000000012</v>
      </c>
      <c r="AT33" s="163">
        <f t="shared" si="7"/>
        <v>-16978.269999999997</v>
      </c>
      <c r="AU33" s="163">
        <f t="shared" si="7"/>
        <v>126109.15</v>
      </c>
      <c r="AV33" s="163">
        <f t="shared" si="7"/>
        <v>21284.48</v>
      </c>
      <c r="AW33" s="163">
        <f t="shared" si="7"/>
        <v>-12418.740000000002</v>
      </c>
      <c r="AX33" s="163">
        <f t="shared" si="7"/>
        <v>-35664.86</v>
      </c>
      <c r="AY33" s="163">
        <f t="shared" si="7"/>
        <v>141133.34999999998</v>
      </c>
      <c r="AZ33" s="163">
        <f t="shared" si="7"/>
        <v>-10768.169999999998</v>
      </c>
      <c r="BA33" s="163">
        <f t="shared" si="7"/>
        <v>-6071.1900000000169</v>
      </c>
      <c r="BB33" s="163">
        <f t="shared" si="7"/>
        <v>117240.94</v>
      </c>
      <c r="BC33" s="163">
        <f t="shared" si="7"/>
        <v>-42560.840000000004</v>
      </c>
      <c r="BD33" s="13">
        <f>SUM(E33:W33)</f>
        <v>-1498552.3399999999</v>
      </c>
      <c r="BE33" s="13">
        <f>SUM(X33:AI33)</f>
        <v>-852565.77000000014</v>
      </c>
      <c r="BF33" s="13">
        <f>SUM(AJ33:BC33)</f>
        <v>-648357.54000000015</v>
      </c>
      <c r="BI33" s="13"/>
    </row>
    <row r="34" spans="1:61" ht="15" x14ac:dyDescent="0.25">
      <c r="A34" s="7"/>
      <c r="B34" s="108"/>
      <c r="C34" s="7"/>
      <c r="D34" s="163"/>
      <c r="BD34" s="13"/>
      <c r="BE34" s="13"/>
      <c r="BF34" s="13"/>
      <c r="BI34" s="13"/>
    </row>
    <row r="35" spans="1:61" x14ac:dyDescent="0.2">
      <c r="A35" s="155" t="s">
        <v>546</v>
      </c>
      <c r="B35" s="156" t="s">
        <v>221</v>
      </c>
      <c r="C35" s="155">
        <v>400</v>
      </c>
      <c r="D35" s="157">
        <f>'Base de données indicateurs1'!BD38</f>
        <v>179674614.62999997</v>
      </c>
      <c r="E35" s="13">
        <f>'Base de données indicateurs1'!E38</f>
        <v>2486627.65</v>
      </c>
      <c r="F35" s="13">
        <f>'Base de données indicateurs1'!F38</f>
        <v>545589.65</v>
      </c>
      <c r="G35" s="13">
        <f>'Base de données indicateurs1'!G38</f>
        <v>836100.5</v>
      </c>
      <c r="H35" s="13">
        <f>'Base de données indicateurs1'!H38</f>
        <v>902667.22</v>
      </c>
      <c r="I35" s="13">
        <f>'Base de données indicateurs1'!I38</f>
        <v>7837296.0099999998</v>
      </c>
      <c r="J35" s="13">
        <f>'Base de données indicateurs1'!J38</f>
        <v>7895666.1200000001</v>
      </c>
      <c r="K35" s="13">
        <f>'Base de données indicateurs1'!K38</f>
        <v>6471945.9900000002</v>
      </c>
      <c r="L35" s="13">
        <f>'Base de données indicateurs1'!L38</f>
        <v>30641401.23</v>
      </c>
      <c r="M35" s="13">
        <f>'Base de données indicateurs1'!M38</f>
        <v>3258211.33</v>
      </c>
      <c r="N35" s="13">
        <f>'Base de données indicateurs1'!N38</f>
        <v>239784.65</v>
      </c>
      <c r="O35" s="13">
        <f>'Base de données indicateurs1'!O38</f>
        <v>16610306.949999999</v>
      </c>
      <c r="P35" s="13">
        <f>'Base de données indicateurs1'!P38</f>
        <v>1090512.3799999999</v>
      </c>
      <c r="Q35" s="13">
        <f>'Base de données indicateurs1'!Q38</f>
        <v>216393.85</v>
      </c>
      <c r="R35" s="13">
        <f>'Base de données indicateurs1'!R38</f>
        <v>832417.12</v>
      </c>
      <c r="S35" s="13">
        <f>'Base de données indicateurs1'!S38</f>
        <v>688469.69</v>
      </c>
      <c r="T35" s="13">
        <f>'Base de données indicateurs1'!T38</f>
        <v>1918886.36</v>
      </c>
      <c r="U35" s="13">
        <f>'Base de données indicateurs1'!U38</f>
        <v>485425.25</v>
      </c>
      <c r="V35" s="13">
        <f>'Base de données indicateurs1'!V38</f>
        <v>979685.59</v>
      </c>
      <c r="W35" s="13">
        <f>'Base de données indicateurs1'!W38</f>
        <v>7034524.54</v>
      </c>
      <c r="X35" s="13">
        <f>'Base de données indicateurs1'!X38</f>
        <v>871239.75</v>
      </c>
      <c r="Y35" s="13">
        <f>'Base de données indicateurs1'!Y38</f>
        <v>4309636.0999999996</v>
      </c>
      <c r="Z35" s="13">
        <f>'Base de données indicateurs1'!Z38</f>
        <v>3258859.68</v>
      </c>
      <c r="AA35" s="13">
        <f>'Base de données indicateurs1'!AA38</f>
        <v>275555.71000000002</v>
      </c>
      <c r="AB35" s="13">
        <f>'Base de données indicateurs1'!AB38</f>
        <v>1222925.81</v>
      </c>
      <c r="AC35" s="13">
        <f>'Base de données indicateurs1'!AC38</f>
        <v>1947245.34</v>
      </c>
      <c r="AD35" s="13">
        <f>'Base de données indicateurs1'!AD38</f>
        <v>1337380.6599999999</v>
      </c>
      <c r="AE35" s="13">
        <f>'Base de données indicateurs1'!AE38</f>
        <v>1557051.34</v>
      </c>
      <c r="AF35" s="13">
        <f>'Base de données indicateurs1'!AF38</f>
        <v>4782382.62</v>
      </c>
      <c r="AG35" s="13">
        <f>'Base de données indicateurs1'!AG38</f>
        <v>6594451.0800000001</v>
      </c>
      <c r="AH35" s="13">
        <f>'Base de données indicateurs1'!AH38</f>
        <v>415278.1</v>
      </c>
      <c r="AI35" s="13">
        <f>'Base de données indicateurs1'!AI38</f>
        <v>252711.16</v>
      </c>
      <c r="AJ35" s="13">
        <f>'Base de données indicateurs1'!AJ38</f>
        <v>5075458.63</v>
      </c>
      <c r="AK35" s="13">
        <f>'Base de données indicateurs1'!AK38</f>
        <v>2230199.11</v>
      </c>
      <c r="AL35" s="13">
        <f>'Base de données indicateurs1'!AL38</f>
        <v>2529283.1</v>
      </c>
      <c r="AM35" s="13">
        <f>'Base de données indicateurs1'!AM38</f>
        <v>326220.40000000002</v>
      </c>
      <c r="AN35" s="13">
        <f>'Base de données indicateurs1'!AN38</f>
        <v>4263031.2</v>
      </c>
      <c r="AO35" s="13">
        <f>'Base de données indicateurs1'!AO38</f>
        <v>1562823.9</v>
      </c>
      <c r="AP35" s="13">
        <f>'Base de données indicateurs1'!AP38</f>
        <v>1856244.45</v>
      </c>
      <c r="AQ35" s="13">
        <f>'Base de données indicateurs1'!AQ38</f>
        <v>2398664.9</v>
      </c>
      <c r="AR35" s="13">
        <f>'Base de données indicateurs1'!AR38</f>
        <v>1677604.1</v>
      </c>
      <c r="AS35" s="13">
        <f>'Base de données indicateurs1'!AS38</f>
        <v>2439407.38</v>
      </c>
      <c r="AT35" s="13">
        <f>'Base de données indicateurs1'!AT38</f>
        <v>742226.45</v>
      </c>
      <c r="AU35" s="13">
        <f>'Base de données indicateurs1'!AU38</f>
        <v>5295929</v>
      </c>
      <c r="AV35" s="13">
        <f>'Base de données indicateurs1'!AV38</f>
        <v>2144191.9900000002</v>
      </c>
      <c r="AW35" s="13">
        <f>'Base de données indicateurs1'!AW38</f>
        <v>626503.13</v>
      </c>
      <c r="AX35" s="13">
        <f>'Base de données indicateurs1'!AX38</f>
        <v>773798.40000000002</v>
      </c>
      <c r="AY35" s="13">
        <f>'Base de données indicateurs1'!AY38</f>
        <v>4511508.01</v>
      </c>
      <c r="AZ35" s="13">
        <f>'Base de données indicateurs1'!AZ38</f>
        <v>718141.5</v>
      </c>
      <c r="BA35" s="13">
        <f>'Base de données indicateurs1'!BA38</f>
        <v>2938241.1</v>
      </c>
      <c r="BB35" s="13">
        <f>'Base de données indicateurs1'!BB38</f>
        <v>18389291.760000002</v>
      </c>
      <c r="BC35" s="13">
        <f>'Base de données indicateurs1'!BC38</f>
        <v>1379216.69</v>
      </c>
      <c r="BD35" s="13">
        <f>SUM(E35:W35)</f>
        <v>90971912.079999998</v>
      </c>
      <c r="BE35" s="13">
        <f>SUM(X35:AI35)</f>
        <v>26824717.350000005</v>
      </c>
      <c r="BF35" s="13">
        <f>SUM(AJ35:BC35)</f>
        <v>61877985.200000003</v>
      </c>
      <c r="BI35" s="13"/>
    </row>
    <row r="36" spans="1:61" x14ac:dyDescent="0.2">
      <c r="A36" s="158" t="s">
        <v>547</v>
      </c>
      <c r="B36" s="159" t="s">
        <v>221</v>
      </c>
      <c r="C36" s="158">
        <v>401</v>
      </c>
      <c r="D36" s="160">
        <f>'Base de données indicateurs1'!BD39</f>
        <v>32311937.079999994</v>
      </c>
      <c r="E36" s="13">
        <f>'Base de données indicateurs1'!E39</f>
        <v>167849.81</v>
      </c>
      <c r="F36" s="13">
        <f>'Base de données indicateurs1'!F39</f>
        <v>31072.85</v>
      </c>
      <c r="G36" s="13">
        <f>'Base de données indicateurs1'!G39</f>
        <v>-23744.65</v>
      </c>
      <c r="H36" s="13">
        <f>'Base de données indicateurs1'!H39</f>
        <v>27430.2</v>
      </c>
      <c r="I36" s="13">
        <f>'Base de données indicateurs1'!I39</f>
        <v>250202.95</v>
      </c>
      <c r="J36" s="13">
        <f>'Base de données indicateurs1'!J39</f>
        <v>1118275.8500000001</v>
      </c>
      <c r="K36" s="13">
        <f>'Base de données indicateurs1'!K39</f>
        <v>1223349.05</v>
      </c>
      <c r="L36" s="13">
        <f>'Base de données indicateurs1'!L39</f>
        <v>5362165.45</v>
      </c>
      <c r="M36" s="13">
        <f>'Base de données indicateurs1'!M39</f>
        <v>401506.1</v>
      </c>
      <c r="N36" s="13">
        <f>'Base de données indicateurs1'!N39</f>
        <v>9754.25</v>
      </c>
      <c r="O36" s="13">
        <f>'Base de données indicateurs1'!O39</f>
        <v>223480.36</v>
      </c>
      <c r="P36" s="13">
        <f>'Base de données indicateurs1'!P39</f>
        <v>29291.65</v>
      </c>
      <c r="Q36" s="13">
        <f>'Base de données indicateurs1'!Q39</f>
        <v>518.85</v>
      </c>
      <c r="R36" s="13">
        <f>'Base de données indicateurs1'!R39</f>
        <v>34443.65</v>
      </c>
      <c r="S36" s="13">
        <f>'Base de données indicateurs1'!S39</f>
        <v>19888.150000000001</v>
      </c>
      <c r="T36" s="13">
        <f>'Base de données indicateurs1'!T39</f>
        <v>56848.25</v>
      </c>
      <c r="U36" s="13">
        <f>'Base de données indicateurs1'!U39</f>
        <v>48338.05</v>
      </c>
      <c r="V36" s="13">
        <f>'Base de données indicateurs1'!V39</f>
        <v>331629.2</v>
      </c>
      <c r="W36" s="13">
        <f>'Base de données indicateurs1'!W39</f>
        <v>434677.3</v>
      </c>
      <c r="X36" s="13">
        <f>'Base de données indicateurs1'!X39</f>
        <v>12187.15</v>
      </c>
      <c r="Y36" s="13">
        <f>'Base de données indicateurs1'!Y39</f>
        <v>157817.20000000001</v>
      </c>
      <c r="Z36" s="13">
        <f>'Base de données indicateurs1'!Z39</f>
        <v>9968346.9499999993</v>
      </c>
      <c r="AA36" s="13">
        <f>'Base de données indicateurs1'!AA39</f>
        <v>7009.7</v>
      </c>
      <c r="AB36" s="13">
        <f>'Base de données indicateurs1'!AB39</f>
        <v>-69582.3</v>
      </c>
      <c r="AC36" s="13">
        <f>'Base de données indicateurs1'!AC39</f>
        <v>56189.5</v>
      </c>
      <c r="AD36" s="13">
        <f>'Base de données indicateurs1'!AD39</f>
        <v>32701.65</v>
      </c>
      <c r="AE36" s="13">
        <f>'Base de données indicateurs1'!AE39</f>
        <v>48755.7</v>
      </c>
      <c r="AF36" s="13">
        <f>'Base de données indicateurs1'!AF39</f>
        <v>2349885.1</v>
      </c>
      <c r="AG36" s="13">
        <f>'Base de données indicateurs1'!AG39</f>
        <v>822202.45</v>
      </c>
      <c r="AH36" s="13">
        <f>'Base de données indicateurs1'!AH39</f>
        <v>25498.5</v>
      </c>
      <c r="AI36" s="13">
        <f>'Base de données indicateurs1'!AI39</f>
        <v>9041.4</v>
      </c>
      <c r="AJ36" s="13">
        <f>'Base de données indicateurs1'!AJ39</f>
        <v>195853.65</v>
      </c>
      <c r="AK36" s="13">
        <f>'Base de données indicateurs1'!AK39</f>
        <v>82880.070000000007</v>
      </c>
      <c r="AL36" s="13">
        <f>'Base de données indicateurs1'!AL39</f>
        <v>135929.1</v>
      </c>
      <c r="AM36" s="13">
        <f>'Base de données indicateurs1'!AM39</f>
        <v>7462.75</v>
      </c>
      <c r="AN36" s="13">
        <f>'Base de données indicateurs1'!AN39</f>
        <v>3999805.3</v>
      </c>
      <c r="AO36" s="13">
        <f>'Base de données indicateurs1'!AO39</f>
        <v>-442724.65</v>
      </c>
      <c r="AP36" s="13">
        <f>'Base de données indicateurs1'!AP39</f>
        <v>113951.45</v>
      </c>
      <c r="AQ36" s="13">
        <f>'Base de données indicateurs1'!AQ39</f>
        <v>166659.54999999999</v>
      </c>
      <c r="AR36" s="13">
        <f>'Base de données indicateurs1'!AR39</f>
        <v>31264.74</v>
      </c>
      <c r="AS36" s="13">
        <f>'Base de données indicateurs1'!AS39</f>
        <v>139296.12</v>
      </c>
      <c r="AT36" s="13">
        <f>'Base de données indicateurs1'!AT39</f>
        <v>214680.15</v>
      </c>
      <c r="AU36" s="13">
        <f>'Base de données indicateurs1'!AU39</f>
        <v>775572.5</v>
      </c>
      <c r="AV36" s="13">
        <f>'Base de données indicateurs1'!AV39</f>
        <v>154295.54999999999</v>
      </c>
      <c r="AW36" s="13">
        <f>'Base de données indicateurs1'!AW39</f>
        <v>67572.25</v>
      </c>
      <c r="AX36" s="13">
        <f>'Base de données indicateurs1'!AX39</f>
        <v>13792.11</v>
      </c>
      <c r="AY36" s="13">
        <f>'Base de données indicateurs1'!AY39</f>
        <v>224872</v>
      </c>
      <c r="AZ36" s="13">
        <f>'Base de données indicateurs1'!AZ39</f>
        <v>17289.400000000001</v>
      </c>
      <c r="BA36" s="13">
        <f>'Base de données indicateurs1'!BA39</f>
        <v>32526.35</v>
      </c>
      <c r="BB36" s="13">
        <f>'Base de données indicateurs1'!BB39</f>
        <v>3144327.65</v>
      </c>
      <c r="BC36" s="13">
        <f>'Base de données indicateurs1'!BC39</f>
        <v>69600.72</v>
      </c>
      <c r="BD36" s="13">
        <f>SUM(E36:W36)</f>
        <v>9746977.3200000022</v>
      </c>
      <c r="BE36" s="13">
        <f>SUM(X36:AI36)</f>
        <v>13420052.999999996</v>
      </c>
      <c r="BF36" s="13">
        <f>SUM(AJ36:BC36)</f>
        <v>9144906.7600000016</v>
      </c>
      <c r="BI36" s="13"/>
    </row>
    <row r="37" spans="1:61" x14ac:dyDescent="0.2">
      <c r="A37" s="158" t="s">
        <v>136</v>
      </c>
      <c r="B37" s="159" t="s">
        <v>221</v>
      </c>
      <c r="C37" s="158">
        <v>402</v>
      </c>
      <c r="D37" s="160">
        <f>'Base de données indicateurs1'!BD40</f>
        <v>26847076.260000002</v>
      </c>
      <c r="E37" s="13">
        <f>'Base de données indicateurs1'!E40</f>
        <v>212821.75</v>
      </c>
      <c r="F37" s="13">
        <f>'Base de données indicateurs1'!F40</f>
        <v>141998.04999999999</v>
      </c>
      <c r="G37" s="13">
        <f>'Base de données indicateurs1'!G40</f>
        <v>108936.6</v>
      </c>
      <c r="H37" s="13">
        <f>'Base de données indicateurs1'!H40</f>
        <v>161599.9</v>
      </c>
      <c r="I37" s="13">
        <f>'Base de données indicateurs1'!I40</f>
        <v>1549409.5</v>
      </c>
      <c r="J37" s="13">
        <f>'Base de données indicateurs1'!J40</f>
        <v>1006708.79</v>
      </c>
      <c r="K37" s="13">
        <f>'Base de données indicateurs1'!K40</f>
        <v>701452.45</v>
      </c>
      <c r="L37" s="13">
        <f>'Base de données indicateurs1'!L40</f>
        <v>4720047.37</v>
      </c>
      <c r="M37" s="13">
        <f>'Base de données indicateurs1'!M40</f>
        <v>449218.85</v>
      </c>
      <c r="N37" s="13">
        <f>'Base de données indicateurs1'!N40</f>
        <v>16956.599999999999</v>
      </c>
      <c r="O37" s="13">
        <f>'Base de données indicateurs1'!O40</f>
        <v>2180909.12</v>
      </c>
      <c r="P37" s="13">
        <f>'Base de données indicateurs1'!P40</f>
        <v>268368.81</v>
      </c>
      <c r="Q37" s="13">
        <f>'Base de données indicateurs1'!Q40</f>
        <v>30917.599999999999</v>
      </c>
      <c r="R37" s="13">
        <f>'Base de données indicateurs1'!R40</f>
        <v>184325.16</v>
      </c>
      <c r="S37" s="13">
        <f>'Base de données indicateurs1'!S40</f>
        <v>100970.65</v>
      </c>
      <c r="T37" s="13">
        <f>'Base de données indicateurs1'!T40</f>
        <v>222232.88</v>
      </c>
      <c r="U37" s="13">
        <f>'Base de données indicateurs1'!U40</f>
        <v>64867.35</v>
      </c>
      <c r="V37" s="13">
        <f>'Base de données indicateurs1'!V40</f>
        <v>136874.45000000001</v>
      </c>
      <c r="W37" s="13">
        <f>'Base de données indicateurs1'!W40</f>
        <v>1388611.85</v>
      </c>
      <c r="X37" s="13">
        <f>'Base de données indicateurs1'!X40</f>
        <v>99902.15</v>
      </c>
      <c r="Y37" s="13">
        <f>'Base de données indicateurs1'!Y40</f>
        <v>602057.55000000005</v>
      </c>
      <c r="Z37" s="13">
        <f>'Base de données indicateurs1'!Z40</f>
        <v>514281.85</v>
      </c>
      <c r="AA37" s="13">
        <f>'Base de données indicateurs1'!AA40</f>
        <v>61834.15</v>
      </c>
      <c r="AB37" s="13">
        <f>'Base de données indicateurs1'!AB40</f>
        <v>156373.95000000001</v>
      </c>
      <c r="AC37" s="13">
        <f>'Base de données indicateurs1'!AC40</f>
        <v>314249.84999999998</v>
      </c>
      <c r="AD37" s="13">
        <f>'Base de données indicateurs1'!AD40</f>
        <v>267608.3</v>
      </c>
      <c r="AE37" s="13">
        <f>'Base de données indicateurs1'!AE40</f>
        <v>251673.1</v>
      </c>
      <c r="AF37" s="13">
        <f>'Base de données indicateurs1'!AF40</f>
        <v>623413.69999999995</v>
      </c>
      <c r="AG37" s="13">
        <f>'Base de données indicateurs1'!AG40</f>
        <v>975123.59</v>
      </c>
      <c r="AH37" s="13">
        <f>'Base de données indicateurs1'!AH40</f>
        <v>45023.97</v>
      </c>
      <c r="AI37" s="13">
        <f>'Base de données indicateurs1'!AI40</f>
        <v>123896.05</v>
      </c>
      <c r="AJ37" s="13">
        <f>'Base de données indicateurs1'!AJ40</f>
        <v>785511.14</v>
      </c>
      <c r="AK37" s="13">
        <f>'Base de données indicateurs1'!AK40</f>
        <v>382204.22</v>
      </c>
      <c r="AL37" s="13">
        <f>'Base de données indicateurs1'!AL40</f>
        <v>406947.64</v>
      </c>
      <c r="AM37" s="13">
        <f>'Base de données indicateurs1'!AM40</f>
        <v>50117.9</v>
      </c>
      <c r="AN37" s="13">
        <f>'Base de données indicateurs1'!AN40</f>
        <v>432908.07</v>
      </c>
      <c r="AO37" s="13">
        <f>'Base de données indicateurs1'!AO40</f>
        <v>202688.55</v>
      </c>
      <c r="AP37" s="13">
        <f>'Base de données indicateurs1'!AP40</f>
        <v>250163.55</v>
      </c>
      <c r="AQ37" s="13">
        <f>'Base de données indicateurs1'!AQ40</f>
        <v>551249.09</v>
      </c>
      <c r="AR37" s="13">
        <f>'Base de données indicateurs1'!AR40</f>
        <v>291603.05</v>
      </c>
      <c r="AS37" s="13">
        <f>'Base de données indicateurs1'!AS40</f>
        <v>333108.90000000002</v>
      </c>
      <c r="AT37" s="13">
        <f>'Base de données indicateurs1'!AT40</f>
        <v>78513</v>
      </c>
      <c r="AU37" s="13">
        <f>'Base de données indicateurs1'!AU40</f>
        <v>832553.45</v>
      </c>
      <c r="AV37" s="13">
        <f>'Base de données indicateurs1'!AV40</f>
        <v>327653.45</v>
      </c>
      <c r="AW37" s="13">
        <f>'Base de données indicateurs1'!AW40</f>
        <v>196766.55</v>
      </c>
      <c r="AX37" s="13">
        <f>'Base de données indicateurs1'!AX40</f>
        <v>131198.67000000001</v>
      </c>
      <c r="AY37" s="13">
        <f>'Base de données indicateurs1'!AY40</f>
        <v>678284.1</v>
      </c>
      <c r="AZ37" s="13">
        <f>'Base de données indicateurs1'!AZ40</f>
        <v>161392.5</v>
      </c>
      <c r="BA37" s="13">
        <f>'Base de données indicateurs1'!BA40</f>
        <v>426000.79</v>
      </c>
      <c r="BB37" s="13">
        <f>'Base de données indicateurs1'!BB40</f>
        <v>2455228.15</v>
      </c>
      <c r="BC37" s="13">
        <f>'Base de données indicateurs1'!BC40</f>
        <v>190317.55</v>
      </c>
      <c r="BD37" s="13">
        <f>SUM(E37:W37)</f>
        <v>13647227.73</v>
      </c>
      <c r="BE37" s="13">
        <f>SUM(X37:AI37)</f>
        <v>4035438.2099999995</v>
      </c>
      <c r="BF37" s="13">
        <f>SUM(AJ37:BC37)</f>
        <v>9164410.3200000003</v>
      </c>
      <c r="BI37" s="13"/>
    </row>
    <row r="38" spans="1:61" ht="15.75" thickBot="1" x14ac:dyDescent="0.3">
      <c r="A38" s="7"/>
      <c r="B38" s="108"/>
      <c r="C38" s="7"/>
      <c r="D38" s="163"/>
      <c r="BD38" s="13"/>
      <c r="BE38" s="13"/>
      <c r="BF38" s="13"/>
      <c r="BI38" s="13"/>
    </row>
    <row r="39" spans="1:61" ht="15.75" thickBot="1" x14ac:dyDescent="0.3">
      <c r="A39" s="7" t="s">
        <v>548</v>
      </c>
      <c r="B39" s="108"/>
      <c r="C39" s="7"/>
      <c r="D39" s="164">
        <f>SUM(D35:D37)</f>
        <v>238833627.96999994</v>
      </c>
      <c r="E39" s="173">
        <f>SUM(E35:E37)</f>
        <v>2867299.21</v>
      </c>
      <c r="F39" s="163">
        <f t="shared" ref="F39:BC39" si="8">SUM(F35:F37)</f>
        <v>718660.55</v>
      </c>
      <c r="G39" s="163">
        <f t="shared" si="8"/>
        <v>921292.45</v>
      </c>
      <c r="H39" s="163">
        <f t="shared" si="8"/>
        <v>1091697.3199999998</v>
      </c>
      <c r="I39" s="163">
        <f t="shared" si="8"/>
        <v>9636908.4600000009</v>
      </c>
      <c r="J39" s="163">
        <f t="shared" si="8"/>
        <v>10020650.760000002</v>
      </c>
      <c r="K39" s="163">
        <f t="shared" si="8"/>
        <v>8396747.4900000002</v>
      </c>
      <c r="L39" s="163">
        <f t="shared" si="8"/>
        <v>40723614.049999997</v>
      </c>
      <c r="M39" s="163">
        <f t="shared" si="8"/>
        <v>4108936.2800000003</v>
      </c>
      <c r="N39" s="163">
        <f t="shared" si="8"/>
        <v>266495.5</v>
      </c>
      <c r="O39" s="163">
        <f t="shared" si="8"/>
        <v>19014696.43</v>
      </c>
      <c r="P39" s="163">
        <f t="shared" si="8"/>
        <v>1388172.8399999999</v>
      </c>
      <c r="Q39" s="163">
        <f t="shared" si="8"/>
        <v>247830.30000000002</v>
      </c>
      <c r="R39" s="163">
        <f t="shared" si="8"/>
        <v>1051185.93</v>
      </c>
      <c r="S39" s="163">
        <f t="shared" si="8"/>
        <v>809328.49</v>
      </c>
      <c r="T39" s="163">
        <f t="shared" si="8"/>
        <v>2197967.4900000002</v>
      </c>
      <c r="U39" s="163">
        <f t="shared" si="8"/>
        <v>598630.65</v>
      </c>
      <c r="V39" s="163">
        <f t="shared" si="8"/>
        <v>1448189.24</v>
      </c>
      <c r="W39" s="163">
        <f t="shared" si="8"/>
        <v>8857813.6899999995</v>
      </c>
      <c r="X39" s="163">
        <f t="shared" si="8"/>
        <v>983329.05</v>
      </c>
      <c r="Y39" s="163">
        <f t="shared" si="8"/>
        <v>5069510.8499999996</v>
      </c>
      <c r="Z39" s="163">
        <f t="shared" si="8"/>
        <v>13741488.479999999</v>
      </c>
      <c r="AA39" s="163">
        <f t="shared" si="8"/>
        <v>344399.56000000006</v>
      </c>
      <c r="AB39" s="163">
        <f t="shared" si="8"/>
        <v>1309717.46</v>
      </c>
      <c r="AC39" s="163">
        <f t="shared" si="8"/>
        <v>2317684.69</v>
      </c>
      <c r="AD39" s="163">
        <f t="shared" si="8"/>
        <v>1637690.6099999999</v>
      </c>
      <c r="AE39" s="163">
        <f t="shared" si="8"/>
        <v>1857480.1400000001</v>
      </c>
      <c r="AF39" s="163">
        <f t="shared" si="8"/>
        <v>7755681.4200000009</v>
      </c>
      <c r="AG39" s="163">
        <f t="shared" si="8"/>
        <v>8391777.120000001</v>
      </c>
      <c r="AH39" s="163">
        <f t="shared" si="8"/>
        <v>485800.56999999995</v>
      </c>
      <c r="AI39" s="163">
        <f t="shared" si="8"/>
        <v>385648.61</v>
      </c>
      <c r="AJ39" s="163">
        <f t="shared" si="8"/>
        <v>6056823.4199999999</v>
      </c>
      <c r="AK39" s="163">
        <f t="shared" si="8"/>
        <v>2695283.3999999994</v>
      </c>
      <c r="AL39" s="163">
        <f t="shared" si="8"/>
        <v>3072159.8400000003</v>
      </c>
      <c r="AM39" s="163">
        <f t="shared" si="8"/>
        <v>383801.05000000005</v>
      </c>
      <c r="AN39" s="163">
        <f t="shared" si="8"/>
        <v>8695744.5700000003</v>
      </c>
      <c r="AO39" s="163">
        <f t="shared" si="8"/>
        <v>1322787.8</v>
      </c>
      <c r="AP39" s="163">
        <f t="shared" si="8"/>
        <v>2220359.4499999997</v>
      </c>
      <c r="AQ39" s="163">
        <f t="shared" si="8"/>
        <v>3116573.5399999996</v>
      </c>
      <c r="AR39" s="163">
        <f t="shared" si="8"/>
        <v>2000471.8900000001</v>
      </c>
      <c r="AS39" s="163">
        <f t="shared" si="8"/>
        <v>2911812.4</v>
      </c>
      <c r="AT39" s="163">
        <f t="shared" si="8"/>
        <v>1035419.6</v>
      </c>
      <c r="AU39" s="163">
        <f t="shared" si="8"/>
        <v>6904054.9500000002</v>
      </c>
      <c r="AV39" s="163">
        <f t="shared" si="8"/>
        <v>2626140.9900000002</v>
      </c>
      <c r="AW39" s="163">
        <f t="shared" si="8"/>
        <v>890841.92999999993</v>
      </c>
      <c r="AX39" s="163">
        <f t="shared" si="8"/>
        <v>918789.18</v>
      </c>
      <c r="AY39" s="163">
        <f t="shared" si="8"/>
        <v>5414664.1099999994</v>
      </c>
      <c r="AZ39" s="163">
        <f t="shared" si="8"/>
        <v>896823.4</v>
      </c>
      <c r="BA39" s="163">
        <f t="shared" si="8"/>
        <v>3396768.24</v>
      </c>
      <c r="BB39" s="163">
        <f t="shared" si="8"/>
        <v>23988847.559999999</v>
      </c>
      <c r="BC39" s="163">
        <f t="shared" si="8"/>
        <v>1639134.96</v>
      </c>
      <c r="BD39" s="13">
        <f>SUM(E39:W39)</f>
        <v>114366117.13</v>
      </c>
      <c r="BE39" s="13">
        <f>SUM(X39:AI39)</f>
        <v>44280208.559999995</v>
      </c>
      <c r="BF39" s="13">
        <f>SUM(AJ39:BC39)</f>
        <v>80187302.280000001</v>
      </c>
      <c r="BI39" s="13"/>
    </row>
    <row r="40" spans="1:61" ht="15" thickBot="1" x14ac:dyDescent="0.25">
      <c r="B40" s="165"/>
      <c r="D40" s="13"/>
      <c r="BD40" s="13"/>
      <c r="BE40" s="13"/>
      <c r="BF40" s="13"/>
      <c r="BI40" s="13"/>
    </row>
    <row r="41" spans="1:61" ht="15.75" thickBot="1" x14ac:dyDescent="0.3">
      <c r="A41" s="7" t="s">
        <v>549</v>
      </c>
      <c r="B41" s="165"/>
      <c r="D41" s="164">
        <f>IF(D39&lt;&gt;0,D33/D39,"")*100</f>
        <v>-1.2558849754510975</v>
      </c>
      <c r="E41" s="173">
        <f>IF(E39&lt;&gt;0,E33/E39,"")*100</f>
        <v>3.1455189498692042</v>
      </c>
      <c r="F41" s="163">
        <f t="shared" ref="F41:BF41" si="9">IF(F39&lt;&gt;0,F33/F39,"")*100</f>
        <v>1.8353463258836182</v>
      </c>
      <c r="G41" s="163">
        <f t="shared" si="9"/>
        <v>-30.634436437637149</v>
      </c>
      <c r="H41" s="163">
        <f t="shared" si="9"/>
        <v>-0.93643813287001521</v>
      </c>
      <c r="I41" s="163">
        <f t="shared" si="9"/>
        <v>-0.89932056903651392</v>
      </c>
      <c r="J41" s="163">
        <f t="shared" si="9"/>
        <v>1.3036596437575081</v>
      </c>
      <c r="K41" s="163">
        <f t="shared" si="9"/>
        <v>0.40037645576501674</v>
      </c>
      <c r="L41" s="163">
        <f t="shared" si="9"/>
        <v>-2.5312362471915728</v>
      </c>
      <c r="M41" s="163">
        <f t="shared" si="9"/>
        <v>0.29426107333063795</v>
      </c>
      <c r="N41" s="163">
        <f t="shared" si="9"/>
        <v>-6.0194449812473376</v>
      </c>
      <c r="O41" s="163">
        <f t="shared" si="9"/>
        <v>-0.40609236273776256</v>
      </c>
      <c r="P41" s="163">
        <f t="shared" si="9"/>
        <v>0.91230642432105213</v>
      </c>
      <c r="Q41" s="163">
        <f t="shared" si="9"/>
        <v>-0.62929754755572664</v>
      </c>
      <c r="R41" s="163">
        <f t="shared" si="9"/>
        <v>-20.440115670117464</v>
      </c>
      <c r="S41" s="163">
        <f t="shared" si="9"/>
        <v>-3.3822496474824444</v>
      </c>
      <c r="T41" s="163">
        <f t="shared" si="9"/>
        <v>-0.51881704583355825</v>
      </c>
      <c r="U41" s="163">
        <f t="shared" si="9"/>
        <v>-0.34990690837497174</v>
      </c>
      <c r="V41" s="163">
        <f t="shared" si="9"/>
        <v>0.37439720239876911</v>
      </c>
      <c r="W41" s="163">
        <f t="shared" si="9"/>
        <v>-0.40504193535368871</v>
      </c>
      <c r="X41" s="163">
        <f t="shared" si="9"/>
        <v>-0.38673117610020763</v>
      </c>
      <c r="Y41" s="163">
        <f t="shared" si="9"/>
        <v>0.62816001271601951</v>
      </c>
      <c r="Z41" s="163">
        <f t="shared" si="9"/>
        <v>-3.0050301362985974</v>
      </c>
      <c r="AA41" s="163">
        <f t="shared" si="9"/>
        <v>-6.7128831407333962</v>
      </c>
      <c r="AB41" s="163">
        <f t="shared" si="9"/>
        <v>4.2142677093119335E-2</v>
      </c>
      <c r="AC41" s="163">
        <f t="shared" si="9"/>
        <v>-1.8083404606689617</v>
      </c>
      <c r="AD41" s="163">
        <f t="shared" si="9"/>
        <v>1.3767240199295028</v>
      </c>
      <c r="AE41" s="163">
        <f t="shared" si="9"/>
        <v>-20.377384492520065</v>
      </c>
      <c r="AF41" s="163">
        <f t="shared" si="9"/>
        <v>-0.14174886002473261</v>
      </c>
      <c r="AG41" s="163">
        <f t="shared" si="9"/>
        <v>-0.40631941855004838</v>
      </c>
      <c r="AH41" s="163">
        <f t="shared" si="9"/>
        <v>1.2332097510713089</v>
      </c>
      <c r="AI41" s="163">
        <f t="shared" si="9"/>
        <v>-2.109023548665196</v>
      </c>
      <c r="AJ41" s="163">
        <f t="shared" si="9"/>
        <v>1.7996895805161184</v>
      </c>
      <c r="AK41" s="163">
        <f t="shared" si="9"/>
        <v>-30.245215401096605</v>
      </c>
      <c r="AL41" s="163">
        <f t="shared" si="9"/>
        <v>1.6173439074706462</v>
      </c>
      <c r="AM41" s="163">
        <f t="shared" si="9"/>
        <v>0.92631325526597763</v>
      </c>
      <c r="AN41" s="163">
        <f t="shared" si="9"/>
        <v>-0.64074317675133841</v>
      </c>
      <c r="AO41" s="163">
        <f t="shared" si="9"/>
        <v>2.6014928471520529</v>
      </c>
      <c r="AP41" s="163">
        <f t="shared" si="9"/>
        <v>1.5539776678951691</v>
      </c>
      <c r="AQ41" s="163">
        <f t="shared" si="9"/>
        <v>-6.8537124909300253</v>
      </c>
      <c r="AR41" s="163">
        <f t="shared" si="9"/>
        <v>-5.3276194748230123</v>
      </c>
      <c r="AS41" s="163">
        <f t="shared" si="9"/>
        <v>1.0393547331551996</v>
      </c>
      <c r="AT41" s="163">
        <f t="shared" si="9"/>
        <v>-1.6397477892054579</v>
      </c>
      <c r="AU41" s="163">
        <f t="shared" si="9"/>
        <v>1.8265953981145526</v>
      </c>
      <c r="AV41" s="163">
        <f t="shared" si="9"/>
        <v>0.81048504558774648</v>
      </c>
      <c r="AW41" s="163">
        <f t="shared" si="9"/>
        <v>-1.3940452937593544</v>
      </c>
      <c r="AX41" s="163">
        <f t="shared" si="9"/>
        <v>-3.8817239880861463</v>
      </c>
      <c r="AY41" s="163">
        <f t="shared" si="9"/>
        <v>2.6065024003861987</v>
      </c>
      <c r="AZ41" s="163">
        <f t="shared" si="9"/>
        <v>-1.2007012751897417</v>
      </c>
      <c r="BA41" s="163">
        <f t="shared" si="9"/>
        <v>-0.17873430187277117</v>
      </c>
      <c r="BB41" s="163">
        <f t="shared" si="9"/>
        <v>0.48873102264192303</v>
      </c>
      <c r="BC41" s="163">
        <f t="shared" si="9"/>
        <v>-2.5965427520379412</v>
      </c>
      <c r="BD41" s="163">
        <f t="shared" si="9"/>
        <v>-1.3103114607769668</v>
      </c>
      <c r="BE41" s="163">
        <f t="shared" si="9"/>
        <v>-1.9253878825904074</v>
      </c>
      <c r="BF41" s="163">
        <f t="shared" si="9"/>
        <v>-0.80855387519591226</v>
      </c>
      <c r="BI41" s="13"/>
    </row>
    <row r="42" spans="1:61" x14ac:dyDescent="0.2">
      <c r="A42" s="169" t="s">
        <v>550</v>
      </c>
      <c r="B42" s="165"/>
      <c r="D42" s="13"/>
      <c r="BI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14"/>
  <sheetViews>
    <sheetView workbookViewId="0">
      <pane xSplit="4" ySplit="5" topLeftCell="AI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7.28515625" style="8" customWidth="1"/>
    <col min="62" max="16384" width="11.42578125" style="8"/>
  </cols>
  <sheetData>
    <row r="2" spans="1:61" ht="18" x14ac:dyDescent="0.25">
      <c r="A2" s="227" t="s">
        <v>488</v>
      </c>
      <c r="B2" s="227"/>
      <c r="C2" s="227"/>
      <c r="D2" s="227"/>
    </row>
    <row r="4" spans="1:61" ht="15" x14ac:dyDescent="0.25">
      <c r="A4" s="7" t="s">
        <v>551</v>
      </c>
      <c r="B4" s="154"/>
      <c r="C4" s="30" t="s">
        <v>490</v>
      </c>
      <c r="D4" s="30" t="s">
        <v>491</v>
      </c>
      <c r="E4" s="175">
        <f>'4.1 Comptes 2023 natures'!E3</f>
        <v>961</v>
      </c>
      <c r="F4" s="175">
        <f>'4.1 Comptes 2023 natures'!F3</f>
        <v>261</v>
      </c>
      <c r="G4" s="175">
        <f>'4.1 Comptes 2023 natures'!G3</f>
        <v>494</v>
      </c>
      <c r="H4" s="175">
        <f>'4.1 Comptes 2023 natures'!H3</f>
        <v>445</v>
      </c>
      <c r="I4" s="175">
        <f>'4.1 Comptes 2023 natures'!I3</f>
        <v>3667</v>
      </c>
      <c r="J4" s="175">
        <f>'4.1 Comptes 2023 natures'!J3</f>
        <v>3396</v>
      </c>
      <c r="K4" s="175">
        <f>'4.1 Comptes 2023 natures'!K3</f>
        <v>2724</v>
      </c>
      <c r="L4" s="176">
        <f>'4.1 Comptes 2023 natures'!L3</f>
        <v>12739</v>
      </c>
      <c r="M4" s="176">
        <f>'4.1 Comptes 2023 natures'!M3</f>
        <v>1372</v>
      </c>
      <c r="N4" s="176">
        <f>'4.1 Comptes 2023 natures'!N3</f>
        <v>117</v>
      </c>
      <c r="O4" s="176">
        <f>'4.1 Comptes 2023 natures'!O3</f>
        <v>7362</v>
      </c>
      <c r="P4" s="176">
        <f>'4.1 Comptes 2023 natures'!P3</f>
        <v>535</v>
      </c>
      <c r="Q4" s="176">
        <f>'4.1 Comptes 2023 natures'!Q3</f>
        <v>112</v>
      </c>
      <c r="R4" s="176">
        <f>'4.1 Comptes 2023 natures'!R3</f>
        <v>420</v>
      </c>
      <c r="S4" s="176">
        <f>'4.1 Comptes 2023 natures'!S3</f>
        <v>349</v>
      </c>
      <c r="T4" s="176">
        <f>'4.1 Comptes 2023 natures'!T3</f>
        <v>733</v>
      </c>
      <c r="U4" s="176">
        <f>'4.1 Comptes 2023 natures'!U3</f>
        <v>273</v>
      </c>
      <c r="V4" s="176">
        <f>'4.1 Comptes 2023 natures'!V3</f>
        <v>431</v>
      </c>
      <c r="W4" s="176">
        <f>'4.1 Comptes 2023 natures'!W3</f>
        <v>3269</v>
      </c>
      <c r="X4" s="176">
        <f>'4.1 Comptes 2023 natures'!X3</f>
        <v>305</v>
      </c>
      <c r="Y4" s="176">
        <f>'4.1 Comptes 2023 natures'!Y3</f>
        <v>1252</v>
      </c>
      <c r="Z4" s="176">
        <f>'4.1 Comptes 2023 natures'!Z3</f>
        <v>1642</v>
      </c>
      <c r="AA4" s="176">
        <f>'4.1 Comptes 2023 natures'!AA3</f>
        <v>149</v>
      </c>
      <c r="AB4" s="176">
        <f>'4.1 Comptes 2023 natures'!AB3</f>
        <v>510</v>
      </c>
      <c r="AC4" s="176">
        <f>'4.1 Comptes 2023 natures'!AC3</f>
        <v>710</v>
      </c>
      <c r="AD4" s="176">
        <f>'4.1 Comptes 2023 natures'!AD3</f>
        <v>566</v>
      </c>
      <c r="AE4" s="176">
        <f>'4.1 Comptes 2023 natures'!AE3</f>
        <v>508</v>
      </c>
      <c r="AF4" s="176">
        <f>'4.1 Comptes 2023 natures'!AF3</f>
        <v>1957</v>
      </c>
      <c r="AG4" s="176">
        <f>'4.1 Comptes 2023 natures'!AG3</f>
        <v>2568</v>
      </c>
      <c r="AH4" s="176">
        <f>'4.1 Comptes 2023 natures'!AH3</f>
        <v>239</v>
      </c>
      <c r="AI4" s="176">
        <f>'4.1 Comptes 2023 natures'!AI3</f>
        <v>125</v>
      </c>
      <c r="AJ4" s="176">
        <f>'4.1 Comptes 2023 natures'!AJ3</f>
        <v>1907</v>
      </c>
      <c r="AK4" s="176">
        <f>'4.1 Comptes 2023 natures'!AK3</f>
        <v>1134</v>
      </c>
      <c r="AL4" s="176">
        <f>'4.1 Comptes 2023 natures'!AL3</f>
        <v>1203</v>
      </c>
      <c r="AM4" s="176">
        <f>'4.1 Comptes 2023 natures'!AM3</f>
        <v>112</v>
      </c>
      <c r="AN4" s="176">
        <f>'4.1 Comptes 2023 natures'!AN3</f>
        <v>1171</v>
      </c>
      <c r="AO4" s="176">
        <f>'4.1 Comptes 2023 natures'!AO3</f>
        <v>655</v>
      </c>
      <c r="AP4" s="176">
        <f>'4.1 Comptes 2023 natures'!AP3</f>
        <v>631</v>
      </c>
      <c r="AQ4" s="176">
        <f>'4.1 Comptes 2023 natures'!AQ3</f>
        <v>1294</v>
      </c>
      <c r="AR4" s="176">
        <f>'4.1 Comptes 2023 natures'!AR3</f>
        <v>721</v>
      </c>
      <c r="AS4" s="176">
        <f>'4.1 Comptes 2023 natures'!AS3</f>
        <v>1060</v>
      </c>
      <c r="AT4" s="176">
        <f>'4.1 Comptes 2023 natures'!AT3</f>
        <v>314</v>
      </c>
      <c r="AU4" s="176">
        <f>'4.1 Comptes 2023 natures'!AU3</f>
        <v>2453</v>
      </c>
      <c r="AV4" s="176">
        <f>'4.1 Comptes 2023 natures'!AV3</f>
        <v>774</v>
      </c>
      <c r="AW4" s="176">
        <f>'4.1 Comptes 2023 natures'!AW3</f>
        <v>363</v>
      </c>
      <c r="AX4" s="176">
        <f>'4.1 Comptes 2023 natures'!AX3</f>
        <v>332</v>
      </c>
      <c r="AY4" s="176">
        <f>'4.1 Comptes 2023 natures'!AY3</f>
        <v>1647</v>
      </c>
      <c r="AZ4" s="176">
        <f>'4.1 Comptes 2023 natures'!AZ3</f>
        <v>381</v>
      </c>
      <c r="BA4" s="176">
        <f>'4.1 Comptes 2023 natures'!BA3</f>
        <v>1057</v>
      </c>
      <c r="BB4" s="175">
        <f>'4.1 Comptes 2023 natures'!BB3</f>
        <v>6601</v>
      </c>
      <c r="BC4" s="176">
        <f>'4.1 Comptes 2023 natures'!BC3</f>
        <v>547</v>
      </c>
      <c r="BD4" s="178">
        <f>'4.1 Comptes 2023 natures'!BE3</f>
        <v>39660</v>
      </c>
      <c r="BE4" s="178">
        <f>'4.1 Comptes 2023 natures'!BF3</f>
        <v>10531</v>
      </c>
      <c r="BF4" s="178">
        <f>'4.1 Comptes 2023 natures'!BG3</f>
        <v>24357</v>
      </c>
    </row>
    <row r="5" spans="1:61" x14ac:dyDescent="0.2">
      <c r="B5" s="154"/>
      <c r="E5" s="90" t="s">
        <v>55</v>
      </c>
      <c r="F5" s="90" t="s">
        <v>17</v>
      </c>
      <c r="G5" s="90" t="s">
        <v>56</v>
      </c>
      <c r="H5" s="90" t="s">
        <v>52</v>
      </c>
      <c r="I5" s="90" t="s">
        <v>32</v>
      </c>
      <c r="J5" s="90" t="s">
        <v>10</v>
      </c>
      <c r="K5" s="90" t="s">
        <v>14</v>
      </c>
      <c r="L5" s="90" t="s">
        <v>27</v>
      </c>
      <c r="M5" s="90" t="s">
        <v>41</v>
      </c>
      <c r="N5" s="90" t="s">
        <v>22</v>
      </c>
      <c r="O5" s="90" t="s">
        <v>21</v>
      </c>
      <c r="P5" s="90" t="s">
        <v>12</v>
      </c>
      <c r="Q5" s="90" t="s">
        <v>16</v>
      </c>
      <c r="R5" s="90" t="s">
        <v>42</v>
      </c>
      <c r="S5" s="90" t="s">
        <v>39</v>
      </c>
      <c r="T5" s="90" t="s">
        <v>30</v>
      </c>
      <c r="U5" s="90" t="s">
        <v>11</v>
      </c>
      <c r="V5" s="90" t="s">
        <v>58</v>
      </c>
      <c r="W5" s="90" t="s">
        <v>26</v>
      </c>
      <c r="X5" s="90" t="s">
        <v>29</v>
      </c>
      <c r="Y5" s="90" t="s">
        <v>19</v>
      </c>
      <c r="Z5" s="90" t="s">
        <v>44</v>
      </c>
      <c r="AA5" s="90" t="s">
        <v>38</v>
      </c>
      <c r="AB5" s="90" t="s">
        <v>18</v>
      </c>
      <c r="AC5" s="90" t="s">
        <v>40</v>
      </c>
      <c r="AD5" s="90" t="s">
        <v>35</v>
      </c>
      <c r="AE5" s="90" t="s">
        <v>7</v>
      </c>
      <c r="AF5" s="90" t="s">
        <v>54</v>
      </c>
      <c r="AG5" s="90" t="s">
        <v>20</v>
      </c>
      <c r="AH5" s="90" t="s">
        <v>6</v>
      </c>
      <c r="AI5" s="90" t="s">
        <v>33</v>
      </c>
      <c r="AJ5" s="90" t="s">
        <v>51</v>
      </c>
      <c r="AK5" s="90" t="s">
        <v>13</v>
      </c>
      <c r="AL5" s="90" t="s">
        <v>31</v>
      </c>
      <c r="AM5" s="90" t="s">
        <v>28</v>
      </c>
      <c r="AN5" s="90" t="s">
        <v>25</v>
      </c>
      <c r="AO5" s="90" t="s">
        <v>47</v>
      </c>
      <c r="AP5" s="90" t="s">
        <v>43</v>
      </c>
      <c r="AQ5" s="90" t="s">
        <v>36</v>
      </c>
      <c r="AR5" s="90" t="s">
        <v>50</v>
      </c>
      <c r="AS5" s="90" t="s">
        <v>8</v>
      </c>
      <c r="AT5" s="90" t="s">
        <v>23</v>
      </c>
      <c r="AU5" s="90" t="s">
        <v>9</v>
      </c>
      <c r="AV5" s="90" t="s">
        <v>61</v>
      </c>
      <c r="AW5" s="90" t="s">
        <v>850</v>
      </c>
      <c r="AX5" s="90" t="s">
        <v>34</v>
      </c>
      <c r="AY5" s="90" t="s">
        <v>48</v>
      </c>
      <c r="AZ5" s="90" t="s">
        <v>46</v>
      </c>
      <c r="BA5" s="90" t="s">
        <v>57</v>
      </c>
      <c r="BB5" s="90" t="s">
        <v>15</v>
      </c>
      <c r="BC5" s="90" t="s">
        <v>24</v>
      </c>
      <c r="BD5" s="112" t="s">
        <v>27</v>
      </c>
      <c r="BE5" s="112" t="s">
        <v>63</v>
      </c>
      <c r="BF5" s="112" t="s">
        <v>15</v>
      </c>
    </row>
    <row r="6" spans="1:61" x14ac:dyDescent="0.2">
      <c r="A6" s="155" t="s">
        <v>552</v>
      </c>
      <c r="B6" s="156" t="s">
        <v>494</v>
      </c>
      <c r="C6" s="155">
        <v>299</v>
      </c>
      <c r="D6" s="157">
        <f>'Base de données indicateurs1'!BD15</f>
        <v>107817183.69000003</v>
      </c>
      <c r="E6" s="13">
        <f>'Base de données indicateurs1'!E15</f>
        <v>1886110.4900000002</v>
      </c>
      <c r="F6" s="13">
        <f>'Base de données indicateurs1'!F15</f>
        <v>11382.479999999996</v>
      </c>
      <c r="G6" s="13">
        <f>'Base de données indicateurs1'!G15</f>
        <v>147527.20000000001</v>
      </c>
      <c r="H6" s="13">
        <f>'Base de données indicateurs1'!H15</f>
        <v>942114.51</v>
      </c>
      <c r="I6" s="13">
        <f>'Base de données indicateurs1'!I15</f>
        <v>5329910.5599999996</v>
      </c>
      <c r="J6" s="13">
        <f>'Base de données indicateurs1'!J15</f>
        <v>2666018.04</v>
      </c>
      <c r="K6" s="13">
        <f>'Base de données indicateurs1'!K15</f>
        <v>6542969.2000000002</v>
      </c>
      <c r="L6" s="13">
        <f>'Base de données indicateurs1'!L15</f>
        <v>-4795601.3900000006</v>
      </c>
      <c r="M6" s="13">
        <f>'Base de données indicateurs1'!M15</f>
        <v>819878.64</v>
      </c>
      <c r="N6" s="13">
        <f>'Base de données indicateurs1'!N15</f>
        <v>532616.70000000007</v>
      </c>
      <c r="O6" s="13">
        <f>'Base de données indicateurs1'!O15</f>
        <v>101716.69999999995</v>
      </c>
      <c r="P6" s="13">
        <f>'Base de données indicateurs1'!P15</f>
        <v>397718.22000000003</v>
      </c>
      <c r="Q6" s="13">
        <f>'Base de données indicateurs1'!Q15</f>
        <v>16756.349999999999</v>
      </c>
      <c r="R6" s="13">
        <f>'Base de données indicateurs1'!R15</f>
        <v>319970.86</v>
      </c>
      <c r="S6" s="13">
        <f>'Base de données indicateurs1'!S15</f>
        <v>-28859.170000000002</v>
      </c>
      <c r="T6" s="13">
        <f>'Base de données indicateurs1'!T15</f>
        <v>1131111.26</v>
      </c>
      <c r="U6" s="13">
        <f>'Base de données indicateurs1'!U15</f>
        <v>288162.19</v>
      </c>
      <c r="V6" s="13">
        <f>'Base de données indicateurs1'!V15</f>
        <v>172301.24</v>
      </c>
      <c r="W6" s="13">
        <f>'Base de données indicateurs1'!W15</f>
        <v>2037972.33</v>
      </c>
      <c r="X6" s="13">
        <f>'Base de données indicateurs1'!X15</f>
        <v>2497296.14</v>
      </c>
      <c r="Y6" s="13">
        <f>'Base de données indicateurs1'!Y15</f>
        <v>4711256.0600000005</v>
      </c>
      <c r="Z6" s="13">
        <f>'Base de données indicateurs1'!Z15</f>
        <v>15665171.51</v>
      </c>
      <c r="AA6" s="13">
        <f>'Base de données indicateurs1'!AA15</f>
        <v>1090634.4099999999</v>
      </c>
      <c r="AB6" s="13">
        <f>'Base de données indicateurs1'!AB15</f>
        <v>551237.42999999993</v>
      </c>
      <c r="AC6" s="13">
        <f>'Base de données indicateurs1'!AC15</f>
        <v>581647.9800000001</v>
      </c>
      <c r="AD6" s="13">
        <f>'Base de données indicateurs1'!AD15</f>
        <v>1032492.21</v>
      </c>
      <c r="AE6" s="13">
        <f>'Base de données indicateurs1'!AE15</f>
        <v>4519001.37</v>
      </c>
      <c r="AF6" s="13">
        <f>'Base de données indicateurs1'!AF15</f>
        <v>7685794.7699999996</v>
      </c>
      <c r="AG6" s="13">
        <f>'Base de données indicateurs1'!AG15</f>
        <v>2209258.59</v>
      </c>
      <c r="AH6" s="13">
        <f>'Base de données indicateurs1'!AH15</f>
        <v>1121985.9300000002</v>
      </c>
      <c r="AI6" s="13">
        <f>'Base de données indicateurs1'!AI15</f>
        <v>1367220.23</v>
      </c>
      <c r="AJ6" s="13">
        <f>'Base de données indicateurs1'!AJ15</f>
        <v>1248446.46</v>
      </c>
      <c r="AK6" s="13">
        <f>'Base de données indicateurs1'!AK15</f>
        <v>3451846.7399999998</v>
      </c>
      <c r="AL6" s="13">
        <f>'Base de données indicateurs1'!AL15</f>
        <v>2621933.09</v>
      </c>
      <c r="AM6" s="13">
        <f>'Base de données indicateurs1'!AM15</f>
        <v>1043660.14</v>
      </c>
      <c r="AN6" s="13">
        <f>'Base de données indicateurs1'!AN15</f>
        <v>9447073.5999999996</v>
      </c>
      <c r="AO6" s="13">
        <f>'Base de données indicateurs1'!AO15</f>
        <v>1316921.74</v>
      </c>
      <c r="AP6" s="13">
        <f>'Base de données indicateurs1'!AP15</f>
        <v>1201638.7799999998</v>
      </c>
      <c r="AQ6" s="13">
        <f>'Base de données indicateurs1'!AQ15</f>
        <v>7572979.3200000003</v>
      </c>
      <c r="AR6" s="13">
        <f>'Base de données indicateurs1'!AR15</f>
        <v>258088.52000000002</v>
      </c>
      <c r="AS6" s="13">
        <f>'Base de données indicateurs1'!AS15</f>
        <v>453199.33999999997</v>
      </c>
      <c r="AT6" s="13">
        <f>'Base de données indicateurs1'!AT15</f>
        <v>2936064.3200000003</v>
      </c>
      <c r="AU6" s="13">
        <f>'Base de données indicateurs1'!AU15</f>
        <v>4891953.6399999997</v>
      </c>
      <c r="AV6" s="13">
        <f>'Base de données indicateurs1'!AV15</f>
        <v>630647.31000000006</v>
      </c>
      <c r="AW6" s="13">
        <f>'Base de données indicateurs1'!AW15</f>
        <v>1518541.6800000002</v>
      </c>
      <c r="AX6" s="13">
        <f>'Base de données indicateurs1'!AX15</f>
        <v>97902.75999999998</v>
      </c>
      <c r="AY6" s="13">
        <f>'Base de données indicateurs1'!AY15</f>
        <v>2013578.9300000002</v>
      </c>
      <c r="AZ6" s="13">
        <f>'Base de données indicateurs1'!AZ15</f>
        <v>1476780.16</v>
      </c>
      <c r="BA6" s="13">
        <f>'Base de données indicateurs1'!BA15</f>
        <v>2907224.8</v>
      </c>
      <c r="BB6" s="13">
        <f>'Base de données indicateurs1'!BB15</f>
        <v>328740.39</v>
      </c>
      <c r="BC6" s="13">
        <f>'Base de données indicateurs1'!BC15</f>
        <v>847188.93</v>
      </c>
      <c r="BD6" s="13">
        <f>SUM(E6:W6)</f>
        <v>18519776.409999996</v>
      </c>
      <c r="BE6" s="13">
        <f>SUM(X6:AI6)</f>
        <v>43032996.629999995</v>
      </c>
      <c r="BF6" s="13">
        <f>SUM(AJ6:BC6)</f>
        <v>46264410.649999991</v>
      </c>
      <c r="BI6" s="13"/>
    </row>
    <row r="7" spans="1:61" ht="15" thickBot="1" x14ac:dyDescent="0.25">
      <c r="A7" s="161"/>
      <c r="B7" s="162"/>
      <c r="C7" s="161"/>
      <c r="D7" s="163"/>
      <c r="BD7" s="13"/>
      <c r="BE7" s="13"/>
      <c r="BF7" s="13"/>
      <c r="BI7" s="13"/>
    </row>
    <row r="8" spans="1:61" ht="15.75" thickBot="1" x14ac:dyDescent="0.3">
      <c r="A8" s="7" t="s">
        <v>553</v>
      </c>
      <c r="B8" s="108"/>
      <c r="C8" s="7"/>
      <c r="D8" s="164">
        <f>D6</f>
        <v>107817183.69000003</v>
      </c>
      <c r="E8" s="13">
        <f>E6</f>
        <v>1886110.4900000002</v>
      </c>
      <c r="F8" s="13">
        <f t="shared" ref="F8:BC8" si="0">F6</f>
        <v>11382.479999999996</v>
      </c>
      <c r="G8" s="13">
        <f t="shared" si="0"/>
        <v>147527.20000000001</v>
      </c>
      <c r="H8" s="13">
        <f t="shared" si="0"/>
        <v>942114.51</v>
      </c>
      <c r="I8" s="13">
        <f t="shared" si="0"/>
        <v>5329910.5599999996</v>
      </c>
      <c r="J8" s="13">
        <f t="shared" si="0"/>
        <v>2666018.04</v>
      </c>
      <c r="K8" s="13">
        <f t="shared" si="0"/>
        <v>6542969.2000000002</v>
      </c>
      <c r="L8" s="13">
        <f t="shared" si="0"/>
        <v>-4795601.3900000006</v>
      </c>
      <c r="M8" s="13">
        <f t="shared" si="0"/>
        <v>819878.64</v>
      </c>
      <c r="N8" s="13">
        <f t="shared" si="0"/>
        <v>532616.70000000007</v>
      </c>
      <c r="O8" s="13">
        <f t="shared" si="0"/>
        <v>101716.69999999995</v>
      </c>
      <c r="P8" s="13">
        <f t="shared" si="0"/>
        <v>397718.22000000003</v>
      </c>
      <c r="Q8" s="13">
        <f t="shared" si="0"/>
        <v>16756.349999999999</v>
      </c>
      <c r="R8" s="13">
        <f t="shared" si="0"/>
        <v>319970.86</v>
      </c>
      <c r="S8" s="13">
        <f t="shared" si="0"/>
        <v>-28859.170000000002</v>
      </c>
      <c r="T8" s="13">
        <f t="shared" si="0"/>
        <v>1131111.26</v>
      </c>
      <c r="U8" s="13">
        <f t="shared" si="0"/>
        <v>288162.19</v>
      </c>
      <c r="V8" s="13">
        <f t="shared" si="0"/>
        <v>172301.24</v>
      </c>
      <c r="W8" s="13">
        <f t="shared" si="0"/>
        <v>2037972.33</v>
      </c>
      <c r="X8" s="13">
        <f t="shared" si="0"/>
        <v>2497296.14</v>
      </c>
      <c r="Y8" s="13">
        <f t="shared" si="0"/>
        <v>4711256.0600000005</v>
      </c>
      <c r="Z8" s="13">
        <f t="shared" si="0"/>
        <v>15665171.51</v>
      </c>
      <c r="AA8" s="13">
        <f t="shared" si="0"/>
        <v>1090634.4099999999</v>
      </c>
      <c r="AB8" s="13">
        <f t="shared" si="0"/>
        <v>551237.42999999993</v>
      </c>
      <c r="AC8" s="13">
        <f t="shared" si="0"/>
        <v>581647.9800000001</v>
      </c>
      <c r="AD8" s="13">
        <f t="shared" si="0"/>
        <v>1032492.21</v>
      </c>
      <c r="AE8" s="13">
        <f t="shared" si="0"/>
        <v>4519001.37</v>
      </c>
      <c r="AF8" s="13">
        <f t="shared" si="0"/>
        <v>7685794.7699999996</v>
      </c>
      <c r="AG8" s="13">
        <f t="shared" si="0"/>
        <v>2209258.59</v>
      </c>
      <c r="AH8" s="13">
        <f t="shared" si="0"/>
        <v>1121985.9300000002</v>
      </c>
      <c r="AI8" s="13">
        <f t="shared" si="0"/>
        <v>1367220.23</v>
      </c>
      <c r="AJ8" s="13">
        <f t="shared" si="0"/>
        <v>1248446.46</v>
      </c>
      <c r="AK8" s="13">
        <f t="shared" si="0"/>
        <v>3451846.7399999998</v>
      </c>
      <c r="AL8" s="13">
        <f t="shared" si="0"/>
        <v>2621933.09</v>
      </c>
      <c r="AM8" s="13">
        <f t="shared" si="0"/>
        <v>1043660.14</v>
      </c>
      <c r="AN8" s="13">
        <f t="shared" si="0"/>
        <v>9447073.5999999996</v>
      </c>
      <c r="AO8" s="13">
        <f t="shared" si="0"/>
        <v>1316921.74</v>
      </c>
      <c r="AP8" s="13">
        <f t="shared" si="0"/>
        <v>1201638.7799999998</v>
      </c>
      <c r="AQ8" s="13">
        <f t="shared" si="0"/>
        <v>7572979.3200000003</v>
      </c>
      <c r="AR8" s="13">
        <f t="shared" si="0"/>
        <v>258088.52000000002</v>
      </c>
      <c r="AS8" s="13">
        <f t="shared" si="0"/>
        <v>453199.33999999997</v>
      </c>
      <c r="AT8" s="13">
        <f t="shared" si="0"/>
        <v>2936064.3200000003</v>
      </c>
      <c r="AU8" s="13">
        <f t="shared" si="0"/>
        <v>4891953.6399999997</v>
      </c>
      <c r="AV8" s="13">
        <f t="shared" si="0"/>
        <v>630647.31000000006</v>
      </c>
      <c r="AW8" s="13">
        <f t="shared" si="0"/>
        <v>1518541.6800000002</v>
      </c>
      <c r="AX8" s="13">
        <f t="shared" si="0"/>
        <v>97902.75999999998</v>
      </c>
      <c r="AY8" s="13">
        <f t="shared" si="0"/>
        <v>2013578.9300000002</v>
      </c>
      <c r="AZ8" s="13">
        <f t="shared" si="0"/>
        <v>1476780.16</v>
      </c>
      <c r="BA8" s="13">
        <f t="shared" si="0"/>
        <v>2907224.8</v>
      </c>
      <c r="BB8" s="13">
        <f t="shared" si="0"/>
        <v>328740.39</v>
      </c>
      <c r="BC8" s="13">
        <f t="shared" si="0"/>
        <v>847188.93</v>
      </c>
      <c r="BD8" s="13">
        <f>SUM(E8:W8)</f>
        <v>18519776.409999996</v>
      </c>
      <c r="BE8" s="13">
        <f>SUM(X8:AI8)</f>
        <v>43032996.629999995</v>
      </c>
      <c r="BF8" s="13">
        <f>SUM(AJ8:BC8)</f>
        <v>46264410.649999991</v>
      </c>
      <c r="BI8" s="13"/>
    </row>
    <row r="9" spans="1:61" ht="15" thickBot="1" x14ac:dyDescent="0.25">
      <c r="B9" s="165"/>
      <c r="D9" s="13"/>
      <c r="BD9" s="13"/>
      <c r="BE9" s="13"/>
      <c r="BF9" s="13"/>
      <c r="BI9" s="13"/>
    </row>
    <row r="10" spans="1:61" ht="15.75" thickBot="1" x14ac:dyDescent="0.3">
      <c r="A10" s="7" t="s">
        <v>497</v>
      </c>
      <c r="B10" s="165"/>
      <c r="D10" s="164">
        <f>'Endett. net + degré d''auto.'!D15</f>
        <v>214726252.45999995</v>
      </c>
      <c r="E10" s="13">
        <f>'Endett. net + degré d''auto.'!E15</f>
        <v>2675569.46</v>
      </c>
      <c r="F10" s="13">
        <f>'Endett. net + degré d''auto.'!F15</f>
        <v>736210.5</v>
      </c>
      <c r="G10" s="13">
        <f>'Endett. net + degré d''auto.'!G15</f>
        <v>885373.85</v>
      </c>
      <c r="H10" s="13">
        <f>'Endett. net + degré d''auto.'!H15</f>
        <v>1065821.42</v>
      </c>
      <c r="I10" s="13">
        <f>'Endett. net + degré d''auto.'!I15</f>
        <v>9317894.9600000009</v>
      </c>
      <c r="J10" s="13">
        <f>'Endett. net + degré d''auto.'!J15</f>
        <v>9218737.9700000007</v>
      </c>
      <c r="K10" s="13">
        <f>'Endett. net + degré d''auto.'!K15</f>
        <v>7453940.04</v>
      </c>
      <c r="L10" s="13">
        <f>'Endett. net + degré d''auto.'!L15</f>
        <v>36180366.280000001</v>
      </c>
      <c r="M10" s="13">
        <f>'Endett. net + degré d''auto.'!M15</f>
        <v>3659717.43</v>
      </c>
      <c r="N10" s="13">
        <f>'Endett. net + degré d''auto.'!N15</f>
        <v>362990.9</v>
      </c>
      <c r="O10" s="13">
        <f>'Endett. net + degré d''auto.'!O15</f>
        <v>18062348.309999999</v>
      </c>
      <c r="P10" s="13">
        <f>'Endett. net + degré d''auto.'!P15</f>
        <v>1424014.0299999998</v>
      </c>
      <c r="Q10" s="13">
        <f>'Endett. net + degré d''auto.'!Q15</f>
        <v>263084.7</v>
      </c>
      <c r="R10" s="13">
        <f>'Endett. net + degré d''auto.'!R15</f>
        <v>1008818.77</v>
      </c>
      <c r="S10" s="13">
        <f>'Endett. net + degré d''auto.'!S15</f>
        <v>814663.84</v>
      </c>
      <c r="T10" s="13">
        <f>'Endett. net + degré d''auto.'!T15</f>
        <v>1945143.61</v>
      </c>
      <c r="U10" s="13">
        <f>'Endett. net + degré d''auto.'!U15</f>
        <v>727657.3</v>
      </c>
      <c r="V10" s="13">
        <f>'Endett. net + degré d''auto.'!V15</f>
        <v>1321456.79</v>
      </c>
      <c r="W10" s="13">
        <f>'Endett. net + degré d''auto.'!W15</f>
        <v>8189873.8399999999</v>
      </c>
      <c r="X10" s="13">
        <f>'Endett. net + degré d''auto.'!X15</f>
        <v>900180.9</v>
      </c>
      <c r="Y10" s="13">
        <f>'Endett. net + degré d''auto.'!Y15</f>
        <v>4284469.3</v>
      </c>
      <c r="Z10" s="13">
        <f>'Endett. net + degré d''auto.'!Z15</f>
        <v>9412534.629999999</v>
      </c>
      <c r="AA10" s="13">
        <f>'Endett. net + degré d''auto.'!AA15</f>
        <v>341141.41000000003</v>
      </c>
      <c r="AB10" s="13">
        <f>'Endett. net + degré d''auto.'!AB15</f>
        <v>1163981.51</v>
      </c>
      <c r="AC10" s="13">
        <f>'Endett. net + degré d''auto.'!AC15</f>
        <v>2164546.84</v>
      </c>
      <c r="AD10" s="13">
        <f>'Endett. net + degré d''auto.'!AD15</f>
        <v>1453778.3099999998</v>
      </c>
      <c r="AE10" s="13">
        <f>'Endett. net + degré d''auto.'!AE15</f>
        <v>1582683.04</v>
      </c>
      <c r="AF10" s="13">
        <f>'Endett. net + degré d''auto.'!AF15</f>
        <v>6788584.7200000007</v>
      </c>
      <c r="AG10" s="13">
        <f>'Endett. net + degré d''auto.'!AG15</f>
        <v>7659227.5300000003</v>
      </c>
      <c r="AH10" s="13">
        <f>'Endett. net + degré d''auto.'!AH15</f>
        <v>611662.6</v>
      </c>
      <c r="AI10" s="13">
        <f>'Endett. net + degré d''auto.'!AI15</f>
        <v>310974.56</v>
      </c>
      <c r="AJ10" s="13">
        <f>'Endett. net + degré d''auto.'!AJ15</f>
        <v>5208820.28</v>
      </c>
      <c r="AK10" s="13">
        <f>'Endett. net + degré d''auto.'!AK15</f>
        <v>2795533.1799999997</v>
      </c>
      <c r="AL10" s="13">
        <f>'Endett. net + degré d''auto.'!AL15</f>
        <v>3243732.2</v>
      </c>
      <c r="AM10" s="13">
        <f>'Endett. net + degré d''auto.'!AM15</f>
        <v>355581.15</v>
      </c>
      <c r="AN10" s="13">
        <f>'Endett. net + degré d''auto.'!AN15</f>
        <v>6492516.5</v>
      </c>
      <c r="AO10" s="13">
        <f>'Endett. net + degré d''auto.'!AO15</f>
        <v>1109699.25</v>
      </c>
      <c r="AP10" s="13">
        <f>'Endett. net + degré d''auto.'!AP15</f>
        <v>2060529.9</v>
      </c>
      <c r="AQ10" s="13">
        <f>'Endett. net + degré d''auto.'!AQ15</f>
        <v>3045922.4499999997</v>
      </c>
      <c r="AR10" s="13">
        <f>'Endett. net + degré d''auto.'!AR15</f>
        <v>1878064.84</v>
      </c>
      <c r="AS10" s="13">
        <f>'Endett. net + degré d''auto.'!AS15</f>
        <v>2772713.5</v>
      </c>
      <c r="AT10" s="13">
        <f>'Endett. net + degré d''auto.'!AT15</f>
        <v>1157054.6000000001</v>
      </c>
      <c r="AU10" s="13">
        <f>'Endett. net + degré d''auto.'!AU15</f>
        <v>6071501.5</v>
      </c>
      <c r="AV10" s="13">
        <f>'Endett. net + degré d''auto.'!AV15</f>
        <v>2264655.54</v>
      </c>
      <c r="AW10" s="13">
        <f>'Endett. net + degré d''auto.'!AW15</f>
        <v>1273000.3799999999</v>
      </c>
      <c r="AX10" s="13">
        <f>'Endett. net + degré d''auto.'!AX15</f>
        <v>906522.51</v>
      </c>
      <c r="AY10" s="13">
        <f>'Endett. net + degré d''auto.'!AY15</f>
        <v>4929309.01</v>
      </c>
      <c r="AZ10" s="13">
        <f>'Endett. net + degré d''auto.'!AZ15</f>
        <v>911996.9</v>
      </c>
      <c r="BA10" s="13">
        <f>'Endett. net + degré d''auto.'!BA15</f>
        <v>2960043.45</v>
      </c>
      <c r="BB10" s="13">
        <f>'Endett. net + degré d''auto.'!BB15</f>
        <v>21692562.559999999</v>
      </c>
      <c r="BC10" s="13">
        <f>'Endett. net + degré d''auto.'!BC15</f>
        <v>1609043.41</v>
      </c>
      <c r="BD10" s="13">
        <f>SUM(E10:W10)</f>
        <v>105313684.00000003</v>
      </c>
      <c r="BE10" s="13">
        <f>SUM(X10:AI10)</f>
        <v>36673765.350000001</v>
      </c>
      <c r="BF10" s="13">
        <f>SUM(AJ10:BC10)</f>
        <v>72738803.109999999</v>
      </c>
      <c r="BI10" s="13"/>
    </row>
    <row r="11" spans="1:61" ht="15" thickBot="1" x14ac:dyDescent="0.25">
      <c r="A11" s="169"/>
      <c r="B11" s="165"/>
      <c r="D11" s="13"/>
      <c r="BD11" s="13"/>
      <c r="BE11" s="13"/>
      <c r="BF11" s="13"/>
      <c r="BI11" s="13"/>
    </row>
    <row r="12" spans="1:61" ht="15.75" thickBot="1" x14ac:dyDescent="0.3">
      <c r="A12" s="7" t="s">
        <v>554</v>
      </c>
      <c r="B12" s="165"/>
      <c r="D12" s="164">
        <f>IF(D10&lt;&gt;0,D8/D10,"")*100</f>
        <v>50.211458754948765</v>
      </c>
      <c r="E12" s="173">
        <f>IF(E10&lt;&gt;0,E8/E10,"")*100</f>
        <v>70.493796486972911</v>
      </c>
      <c r="F12" s="163">
        <f t="shared" ref="F12:BF12" si="1">IF(F10&lt;&gt;0,F8/F10,"")*100</f>
        <v>1.5460904184333144</v>
      </c>
      <c r="G12" s="163">
        <f t="shared" si="1"/>
        <v>16.662701298440201</v>
      </c>
      <c r="H12" s="163">
        <f t="shared" si="1"/>
        <v>88.39327980479132</v>
      </c>
      <c r="I12" s="163">
        <f t="shared" si="1"/>
        <v>57.200801070202225</v>
      </c>
      <c r="J12" s="163">
        <f t="shared" si="1"/>
        <v>28.919555460583286</v>
      </c>
      <c r="K12" s="163">
        <f t="shared" si="1"/>
        <v>87.778666918281246</v>
      </c>
      <c r="L12" s="163">
        <f t="shared" si="1"/>
        <v>-13.254706580046266</v>
      </c>
      <c r="M12" s="163">
        <f t="shared" si="1"/>
        <v>22.40278534291102</v>
      </c>
      <c r="N12" s="163">
        <f t="shared" si="1"/>
        <v>146.73004199278824</v>
      </c>
      <c r="O12" s="163">
        <f t="shared" si="1"/>
        <v>0.56314216874937439</v>
      </c>
      <c r="P12" s="163">
        <f t="shared" si="1"/>
        <v>27.929375105946118</v>
      </c>
      <c r="Q12" s="163">
        <f t="shared" si="1"/>
        <v>6.3691845249837789</v>
      </c>
      <c r="R12" s="163">
        <f t="shared" si="1"/>
        <v>31.717377740701629</v>
      </c>
      <c r="S12" s="163">
        <f t="shared" si="1"/>
        <v>-3.5424636006920354</v>
      </c>
      <c r="T12" s="163">
        <f t="shared" si="1"/>
        <v>58.150526993736982</v>
      </c>
      <c r="U12" s="163">
        <f t="shared" si="1"/>
        <v>39.601360420626577</v>
      </c>
      <c r="V12" s="163">
        <f t="shared" si="1"/>
        <v>13.038734319871329</v>
      </c>
      <c r="W12" s="163">
        <f t="shared" si="1"/>
        <v>24.884050350646184</v>
      </c>
      <c r="X12" s="163">
        <f t="shared" si="1"/>
        <v>277.42158714987175</v>
      </c>
      <c r="Y12" s="163">
        <f t="shared" si="1"/>
        <v>109.96125144367358</v>
      </c>
      <c r="Z12" s="163">
        <f t="shared" si="1"/>
        <v>166.42883267670911</v>
      </c>
      <c r="AA12" s="163">
        <f t="shared" si="1"/>
        <v>319.70156012428976</v>
      </c>
      <c r="AB12" s="163">
        <f t="shared" si="1"/>
        <v>47.357919800633255</v>
      </c>
      <c r="AC12" s="163">
        <f t="shared" si="1"/>
        <v>26.871582044396884</v>
      </c>
      <c r="AD12" s="163">
        <f t="shared" si="1"/>
        <v>71.021296912869758</v>
      </c>
      <c r="AE12" s="163">
        <f t="shared" si="1"/>
        <v>285.52788244953962</v>
      </c>
      <c r="AF12" s="163">
        <f t="shared" si="1"/>
        <v>113.21645213260297</v>
      </c>
      <c r="AG12" s="163">
        <f t="shared" si="1"/>
        <v>28.844404756833224</v>
      </c>
      <c r="AH12" s="163">
        <f t="shared" si="1"/>
        <v>183.43216178330999</v>
      </c>
      <c r="AI12" s="163">
        <f t="shared" si="1"/>
        <v>439.65661692712092</v>
      </c>
      <c r="AJ12" s="163">
        <f t="shared" si="1"/>
        <v>23.967931179994558</v>
      </c>
      <c r="AK12" s="163">
        <f t="shared" si="1"/>
        <v>123.47722304623122</v>
      </c>
      <c r="AL12" s="163">
        <f t="shared" si="1"/>
        <v>80.830750762963703</v>
      </c>
      <c r="AM12" s="163">
        <f t="shared" si="1"/>
        <v>293.50828636444868</v>
      </c>
      <c r="AN12" s="163">
        <f t="shared" si="1"/>
        <v>145.5071173095979</v>
      </c>
      <c r="AO12" s="163">
        <f t="shared" si="1"/>
        <v>118.67375237029312</v>
      </c>
      <c r="AP12" s="163">
        <f t="shared" si="1"/>
        <v>58.316978559738445</v>
      </c>
      <c r="AQ12" s="163">
        <f t="shared" si="1"/>
        <v>248.62679350224431</v>
      </c>
      <c r="AR12" s="163">
        <f t="shared" si="1"/>
        <v>13.742258227889511</v>
      </c>
      <c r="AS12" s="163">
        <f t="shared" si="1"/>
        <v>16.344975418484456</v>
      </c>
      <c r="AT12" s="163">
        <f t="shared" si="1"/>
        <v>253.75330775228758</v>
      </c>
      <c r="AU12" s="163">
        <f t="shared" si="1"/>
        <v>80.572386254042755</v>
      </c>
      <c r="AV12" s="163">
        <f t="shared" si="1"/>
        <v>27.847383359678624</v>
      </c>
      <c r="AW12" s="163">
        <f t="shared" si="1"/>
        <v>119.2883917285241</v>
      </c>
      <c r="AX12" s="163">
        <f t="shared" si="1"/>
        <v>10.799815660396561</v>
      </c>
      <c r="AY12" s="163">
        <f t="shared" si="1"/>
        <v>40.849111425457181</v>
      </c>
      <c r="AZ12" s="163">
        <f t="shared" si="1"/>
        <v>161.92819953664315</v>
      </c>
      <c r="BA12" s="163">
        <f t="shared" si="1"/>
        <v>98.215612341771532</v>
      </c>
      <c r="BB12" s="163">
        <f t="shared" si="1"/>
        <v>1.5154520775990794</v>
      </c>
      <c r="BC12" s="163">
        <f t="shared" si="1"/>
        <v>52.651713728469275</v>
      </c>
      <c r="BD12" s="163">
        <f t="shared" si="1"/>
        <v>17.585346658274716</v>
      </c>
      <c r="BE12" s="163">
        <f t="shared" si="1"/>
        <v>117.34000100428736</v>
      </c>
      <c r="BF12" s="163">
        <f t="shared" si="1"/>
        <v>63.603480772203746</v>
      </c>
      <c r="BI12" s="13"/>
    </row>
    <row r="13" spans="1:61" x14ac:dyDescent="0.2">
      <c r="A13" s="169" t="s">
        <v>555</v>
      </c>
      <c r="B13" s="165"/>
    </row>
    <row r="14" spans="1:61" x14ac:dyDescent="0.2">
      <c r="A14" s="169"/>
      <c r="B14" s="165"/>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F41"/>
  <sheetViews>
    <sheetView zoomScaleNormal="100" workbookViewId="0">
      <pane xSplit="4" ySplit="8" topLeftCell="AW9"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2" spans="1:58" ht="15" x14ac:dyDescent="0.25">
      <c r="A2" s="7" t="s">
        <v>722</v>
      </c>
    </row>
    <row r="3" spans="1:58" ht="15" x14ac:dyDescent="0.25">
      <c r="A3" s="7"/>
    </row>
    <row r="4" spans="1:58" ht="15" x14ac:dyDescent="0.25">
      <c r="A4" s="7" t="s">
        <v>813</v>
      </c>
    </row>
    <row r="6" spans="1:58" ht="18" x14ac:dyDescent="0.25">
      <c r="A6" s="227" t="s">
        <v>488</v>
      </c>
      <c r="B6" s="227"/>
      <c r="C6" s="227"/>
      <c r="D6" s="227"/>
    </row>
    <row r="7" spans="1:58" ht="15" thickBot="1" x14ac:dyDescent="0.25"/>
    <row r="8" spans="1:58" ht="15.75" thickBot="1" x14ac:dyDescent="0.3">
      <c r="A8" s="228" t="s">
        <v>556</v>
      </c>
      <c r="B8" s="229"/>
      <c r="C8" s="229"/>
      <c r="D8" s="230"/>
      <c r="E8" s="90" t="s">
        <v>55</v>
      </c>
      <c r="F8" s="90" t="s">
        <v>17</v>
      </c>
      <c r="G8" s="90" t="s">
        <v>56</v>
      </c>
      <c r="H8" s="90" t="s">
        <v>52</v>
      </c>
      <c r="I8" s="90" t="s">
        <v>32</v>
      </c>
      <c r="J8" s="90" t="s">
        <v>10</v>
      </c>
      <c r="K8" s="90" t="s">
        <v>14</v>
      </c>
      <c r="L8" s="90" t="s">
        <v>27</v>
      </c>
      <c r="M8" s="90" t="s">
        <v>41</v>
      </c>
      <c r="N8" s="90" t="s">
        <v>22</v>
      </c>
      <c r="O8" s="90" t="s">
        <v>21</v>
      </c>
      <c r="P8" s="90" t="s">
        <v>12</v>
      </c>
      <c r="Q8" s="90" t="s">
        <v>16</v>
      </c>
      <c r="R8" s="90" t="s">
        <v>42</v>
      </c>
      <c r="S8" s="90" t="s">
        <v>39</v>
      </c>
      <c r="T8" s="90" t="s">
        <v>30</v>
      </c>
      <c r="U8" s="90" t="s">
        <v>11</v>
      </c>
      <c r="V8" s="90" t="s">
        <v>58</v>
      </c>
      <c r="W8" s="90" t="s">
        <v>26</v>
      </c>
      <c r="X8" s="90" t="s">
        <v>29</v>
      </c>
      <c r="Y8" s="90" t="s">
        <v>19</v>
      </c>
      <c r="Z8" s="90" t="s">
        <v>44</v>
      </c>
      <c r="AA8" s="90" t="s">
        <v>38</v>
      </c>
      <c r="AB8" s="90" t="s">
        <v>18</v>
      </c>
      <c r="AC8" s="90" t="s">
        <v>40</v>
      </c>
      <c r="AD8" s="90" t="s">
        <v>35</v>
      </c>
      <c r="AE8" s="90" t="s">
        <v>7</v>
      </c>
      <c r="AF8" s="90" t="s">
        <v>54</v>
      </c>
      <c r="AG8" s="90" t="s">
        <v>20</v>
      </c>
      <c r="AH8" s="90" t="s">
        <v>6</v>
      </c>
      <c r="AI8" s="90" t="s">
        <v>33</v>
      </c>
      <c r="AJ8" s="90" t="s">
        <v>51</v>
      </c>
      <c r="AK8" s="90" t="s">
        <v>13</v>
      </c>
      <c r="AL8" s="90" t="s">
        <v>31</v>
      </c>
      <c r="AM8" s="90" t="s">
        <v>28</v>
      </c>
      <c r="AN8" s="90" t="s">
        <v>25</v>
      </c>
      <c r="AO8" s="90" t="s">
        <v>47</v>
      </c>
      <c r="AP8" s="90" t="s">
        <v>43</v>
      </c>
      <c r="AQ8" s="90" t="s">
        <v>36</v>
      </c>
      <c r="AR8" s="90" t="s">
        <v>50</v>
      </c>
      <c r="AS8" s="90" t="s">
        <v>8</v>
      </c>
      <c r="AT8" s="90" t="s">
        <v>23</v>
      </c>
      <c r="AU8" s="90" t="s">
        <v>9</v>
      </c>
      <c r="AV8" s="90" t="s">
        <v>61</v>
      </c>
      <c r="AW8" s="90" t="s">
        <v>850</v>
      </c>
      <c r="AX8" s="90" t="s">
        <v>34</v>
      </c>
      <c r="AY8" s="90" t="s">
        <v>48</v>
      </c>
      <c r="AZ8" s="90" t="s">
        <v>46</v>
      </c>
      <c r="BA8" s="90" t="s">
        <v>57</v>
      </c>
      <c r="BB8" s="90" t="s">
        <v>15</v>
      </c>
      <c r="BC8" s="90" t="s">
        <v>24</v>
      </c>
      <c r="BD8" s="112" t="s">
        <v>27</v>
      </c>
      <c r="BE8" s="112" t="s">
        <v>63</v>
      </c>
      <c r="BF8" s="112" t="s">
        <v>15</v>
      </c>
    </row>
    <row r="9" spans="1:58" x14ac:dyDescent="0.2">
      <c r="B9" s="154"/>
      <c r="E9" s="175">
        <f>'4.1 Comptes 2023 natures'!E3</f>
        <v>961</v>
      </c>
      <c r="F9" s="175">
        <f>'4.1 Comptes 2023 natures'!F3</f>
        <v>261</v>
      </c>
      <c r="G9" s="175">
        <f>'4.1 Comptes 2023 natures'!G3</f>
        <v>494</v>
      </c>
      <c r="H9" s="175">
        <f>'4.1 Comptes 2023 natures'!H3</f>
        <v>445</v>
      </c>
      <c r="I9" s="175">
        <f>'4.1 Comptes 2023 natures'!I3</f>
        <v>3667</v>
      </c>
      <c r="J9" s="175">
        <f>'4.1 Comptes 2023 natures'!J3</f>
        <v>3396</v>
      </c>
      <c r="K9" s="175">
        <f>'4.1 Comptes 2023 natures'!K3</f>
        <v>2724</v>
      </c>
      <c r="L9" s="176">
        <f>'4.1 Comptes 2023 natures'!L3</f>
        <v>12739</v>
      </c>
      <c r="M9" s="176">
        <f>'4.1 Comptes 2023 natures'!M3</f>
        <v>1372</v>
      </c>
      <c r="N9" s="176">
        <f>'4.1 Comptes 2023 natures'!N3</f>
        <v>117</v>
      </c>
      <c r="O9" s="176">
        <f>'4.1 Comptes 2023 natures'!O3</f>
        <v>7362</v>
      </c>
      <c r="P9" s="176">
        <f>'4.1 Comptes 2023 natures'!P3</f>
        <v>535</v>
      </c>
      <c r="Q9" s="176">
        <f>'4.1 Comptes 2023 natures'!Q3</f>
        <v>112</v>
      </c>
      <c r="R9" s="176">
        <f>'4.1 Comptes 2023 natures'!R3</f>
        <v>420</v>
      </c>
      <c r="S9" s="176">
        <f>'4.1 Comptes 2023 natures'!S3</f>
        <v>349</v>
      </c>
      <c r="T9" s="176">
        <f>'4.1 Comptes 2023 natures'!T3</f>
        <v>733</v>
      </c>
      <c r="U9" s="176">
        <f>'4.1 Comptes 2023 natures'!U3</f>
        <v>273</v>
      </c>
      <c r="V9" s="176">
        <f>'4.1 Comptes 2023 natures'!V3</f>
        <v>431</v>
      </c>
      <c r="W9" s="176">
        <f>'4.1 Comptes 2023 natures'!W3</f>
        <v>3269</v>
      </c>
      <c r="X9" s="176">
        <f>'4.1 Comptes 2023 natures'!X3</f>
        <v>305</v>
      </c>
      <c r="Y9" s="176">
        <f>'4.1 Comptes 2023 natures'!Y3</f>
        <v>1252</v>
      </c>
      <c r="Z9" s="176">
        <f>'4.1 Comptes 2023 natures'!Z3</f>
        <v>1642</v>
      </c>
      <c r="AA9" s="176">
        <f>'4.1 Comptes 2023 natures'!AA3</f>
        <v>149</v>
      </c>
      <c r="AB9" s="176">
        <f>'4.1 Comptes 2023 natures'!AB3</f>
        <v>510</v>
      </c>
      <c r="AC9" s="176">
        <f>'4.1 Comptes 2023 natures'!AC3</f>
        <v>710</v>
      </c>
      <c r="AD9" s="176">
        <f>'4.1 Comptes 2023 natures'!AD3</f>
        <v>566</v>
      </c>
      <c r="AE9" s="176">
        <f>'4.1 Comptes 2023 natures'!AE3</f>
        <v>508</v>
      </c>
      <c r="AF9" s="176">
        <f>'4.1 Comptes 2023 natures'!AF3</f>
        <v>1957</v>
      </c>
      <c r="AG9" s="176">
        <f>'4.1 Comptes 2023 natures'!AG3</f>
        <v>2568</v>
      </c>
      <c r="AH9" s="176">
        <f>'4.1 Comptes 2023 natures'!AH3</f>
        <v>239</v>
      </c>
      <c r="AI9" s="176">
        <f>'4.1 Comptes 2023 natures'!AI3</f>
        <v>125</v>
      </c>
      <c r="AJ9" s="176">
        <f>'4.1 Comptes 2023 natures'!AJ3</f>
        <v>1907</v>
      </c>
      <c r="AK9" s="176">
        <f>'4.1 Comptes 2023 natures'!AK3</f>
        <v>1134</v>
      </c>
      <c r="AL9" s="176">
        <f>'4.1 Comptes 2023 natures'!AL3</f>
        <v>1203</v>
      </c>
      <c r="AM9" s="176">
        <f>'4.1 Comptes 2023 natures'!AM3</f>
        <v>112</v>
      </c>
      <c r="AN9" s="176">
        <f>'4.1 Comptes 2023 natures'!AN3</f>
        <v>1171</v>
      </c>
      <c r="AO9" s="176">
        <f>'4.1 Comptes 2023 natures'!AO3</f>
        <v>655</v>
      </c>
      <c r="AP9" s="176">
        <f>'4.1 Comptes 2023 natures'!AP3</f>
        <v>631</v>
      </c>
      <c r="AQ9" s="176">
        <f>'4.1 Comptes 2023 natures'!AQ3</f>
        <v>1294</v>
      </c>
      <c r="AR9" s="176">
        <f>'4.1 Comptes 2023 natures'!AR3</f>
        <v>721</v>
      </c>
      <c r="AS9" s="176">
        <f>'4.1 Comptes 2023 natures'!AS3</f>
        <v>1060</v>
      </c>
      <c r="AT9" s="176">
        <f>'4.1 Comptes 2023 natures'!AT3</f>
        <v>314</v>
      </c>
      <c r="AU9" s="176">
        <f>'4.1 Comptes 2023 natures'!AU3</f>
        <v>2453</v>
      </c>
      <c r="AV9" s="176">
        <f>'4.1 Comptes 2023 natures'!AV3</f>
        <v>774</v>
      </c>
      <c r="AW9" s="176">
        <f>'4.1 Comptes 2023 natures'!AW3</f>
        <v>363</v>
      </c>
      <c r="AX9" s="176">
        <f>'4.1 Comptes 2023 natures'!AX3</f>
        <v>332</v>
      </c>
      <c r="AY9" s="176">
        <f>'4.1 Comptes 2023 natures'!AY3</f>
        <v>1647</v>
      </c>
      <c r="AZ9" s="176">
        <f>'4.1 Comptes 2023 natures'!AZ3</f>
        <v>381</v>
      </c>
      <c r="BA9" s="176">
        <f>'4.1 Comptes 2023 natures'!BA3</f>
        <v>1057</v>
      </c>
      <c r="BB9" s="175">
        <f>'4.1 Comptes 2023 natures'!BB3</f>
        <v>6601</v>
      </c>
      <c r="BC9" s="176">
        <f>'4.1 Comptes 2023 natures'!BC3</f>
        <v>547</v>
      </c>
      <c r="BD9" s="178">
        <f>'4.1 Comptes 2023 natures'!BE3</f>
        <v>39660</v>
      </c>
      <c r="BE9" s="178">
        <f>'4.1 Comptes 2023 natures'!BF3</f>
        <v>10531</v>
      </c>
      <c r="BF9" s="178">
        <f>'4.1 Comptes 2023 natures'!BG3</f>
        <v>24357</v>
      </c>
    </row>
    <row r="11" spans="1:58" ht="15" x14ac:dyDescent="0.25">
      <c r="A11" s="7" t="s">
        <v>489</v>
      </c>
      <c r="D11" s="161"/>
    </row>
    <row r="12" spans="1:58" ht="15" thickBot="1" x14ac:dyDescent="0.25"/>
    <row r="13" spans="1:58" ht="15.75" thickBot="1" x14ac:dyDescent="0.3">
      <c r="A13" s="8" t="s">
        <v>557</v>
      </c>
      <c r="D13" s="184">
        <f>'Quotité d''intéret + revenus det'!D29</f>
        <v>615713666.37</v>
      </c>
      <c r="E13" s="19">
        <f>'Quotité d''intéret + revenus det'!E29</f>
        <v>11146300.15</v>
      </c>
      <c r="F13" s="19">
        <f>'Quotité d''intéret + revenus det'!F29</f>
        <v>2269482.25</v>
      </c>
      <c r="G13" s="19">
        <f>'Quotité d''intéret + revenus det'!G29</f>
        <v>5113397.1500000004</v>
      </c>
      <c r="H13" s="19">
        <f>'Quotité d''intéret + revenus det'!H29</f>
        <v>4102182.16</v>
      </c>
      <c r="I13" s="19">
        <f>'Quotité d''intéret + revenus det'!I29</f>
        <v>30134936.359999999</v>
      </c>
      <c r="J13" s="19">
        <f>'Quotité d''intéret + revenus det'!J29</f>
        <v>22968901.039999999</v>
      </c>
      <c r="K13" s="19">
        <f>'Quotité d''intéret + revenus det'!K29</f>
        <v>9978141.2599999998</v>
      </c>
      <c r="L13" s="19">
        <f>'Quotité d''intéret + revenus det'!L29</f>
        <v>171926276.57999998</v>
      </c>
      <c r="M13" s="19">
        <f>'Quotité d''intéret + revenus det'!M29</f>
        <v>7728877.5700000003</v>
      </c>
      <c r="N13" s="19">
        <f>'Quotité d''intéret + revenus det'!N29</f>
        <v>714480.9</v>
      </c>
      <c r="O13" s="19">
        <f>'Quotité d''intéret + revenus det'!O29</f>
        <v>46501562.57</v>
      </c>
      <c r="P13" s="19">
        <f>'Quotité d''intéret + revenus det'!P29</f>
        <v>2637865.54</v>
      </c>
      <c r="Q13" s="19">
        <f>'Quotité d''intéret + revenus det'!Q29</f>
        <v>471574.19</v>
      </c>
      <c r="R13" s="19">
        <f>'Quotité d''intéret + revenus det'!R29</f>
        <v>3469622.55</v>
      </c>
      <c r="S13" s="19">
        <f>'Quotité d''intéret + revenus det'!S29</f>
        <v>3813815.98</v>
      </c>
      <c r="T13" s="19">
        <f>'Quotité d''intéret + revenus det'!T29</f>
        <v>4826208.0999999996</v>
      </c>
      <c r="U13" s="19">
        <f>'Quotité d''intéret + revenus det'!U29</f>
        <v>1265824</v>
      </c>
      <c r="V13" s="19">
        <f>'Quotité d''intéret + revenus det'!V29</f>
        <v>3294471.8600000003</v>
      </c>
      <c r="W13" s="19">
        <f>'Quotité d''intéret + revenus det'!W29</f>
        <v>15597037.949999999</v>
      </c>
      <c r="X13" s="19">
        <f>'Quotité d''intéret + revenus det'!X29</f>
        <v>454326.2</v>
      </c>
      <c r="Y13" s="19">
        <f>'Quotité d''intéret + revenus det'!Y29</f>
        <v>8070627.1899999995</v>
      </c>
      <c r="Z13" s="19">
        <f>'Quotité d''intéret + revenus det'!Z29</f>
        <v>3570934.01</v>
      </c>
      <c r="AA13" s="19">
        <f>'Quotité d''intéret + revenus det'!AA29</f>
        <v>1221246.05</v>
      </c>
      <c r="AB13" s="19">
        <f>'Quotité d''intéret + revenus det'!AB29</f>
        <v>4313052.78</v>
      </c>
      <c r="AC13" s="19">
        <f>'Quotité d''intéret + revenus det'!AC29</f>
        <v>6837332.4500000002</v>
      </c>
      <c r="AD13" s="19">
        <f>'Quotité d''intéret + revenus det'!AD29</f>
        <v>3801987.73</v>
      </c>
      <c r="AE13" s="19">
        <f>'Quotité d''intéret + revenus det'!AE29</f>
        <v>382520.72</v>
      </c>
      <c r="AF13" s="19">
        <f>'Quotité d''intéret + revenus det'!AF29</f>
        <v>5158320.07</v>
      </c>
      <c r="AG13" s="19">
        <f>'Quotité d''intéret + revenus det'!AG29</f>
        <v>15539252.220000001</v>
      </c>
      <c r="AH13" s="19">
        <f>'Quotité d''intéret + revenus det'!AH29</f>
        <v>1622719.02</v>
      </c>
      <c r="AI13" s="19">
        <f>'Quotité d''intéret + revenus det'!AI29</f>
        <v>726096.01</v>
      </c>
      <c r="AJ13" s="19">
        <f>'Quotité d''intéret + revenus det'!AJ29</f>
        <v>16904412.780000001</v>
      </c>
      <c r="AK13" s="19">
        <f>'Quotité d''intéret + revenus det'!AK29</f>
        <v>7843797.9399999995</v>
      </c>
      <c r="AL13" s="19">
        <f>'Quotité d''intéret + revenus det'!AL29</f>
        <v>12263659.08</v>
      </c>
      <c r="AM13" s="19">
        <f>'Quotité d''intéret + revenus det'!AM29</f>
        <v>1401513.22</v>
      </c>
      <c r="AN13" s="19">
        <f>'Quotité d''intéret + revenus det'!AN29</f>
        <v>8616546.5099999998</v>
      </c>
      <c r="AO13" s="19">
        <f>'Quotité d''intéret + revenus det'!AO29</f>
        <v>4939829.34</v>
      </c>
      <c r="AP13" s="19">
        <f>'Quotité d''intéret + revenus det'!AP29</f>
        <v>5017843.2699999996</v>
      </c>
      <c r="AQ13" s="19">
        <f>'Quotité d''intéret + revenus det'!AQ29</f>
        <v>10146633.530000001</v>
      </c>
      <c r="AR13" s="19">
        <f>'Quotité d''intéret + revenus det'!AR29</f>
        <v>5638389.4799999995</v>
      </c>
      <c r="AS13" s="19">
        <f>'Quotité d''intéret + revenus det'!AS29</f>
        <v>9390739.8100000005</v>
      </c>
      <c r="AT13" s="19">
        <f>'Quotité d''intéret + revenus det'!AT29</f>
        <v>1628614.66</v>
      </c>
      <c r="AU13" s="19">
        <f>'Quotité d''intéret + revenus det'!AU29</f>
        <v>15124197.27</v>
      </c>
      <c r="AV13" s="19">
        <f>'Quotité d''intéret + revenus det'!AV29</f>
        <v>5728689.8200000003</v>
      </c>
      <c r="AW13" s="19">
        <f>'Quotité d''intéret + revenus det'!AW29</f>
        <v>772969.42999999993</v>
      </c>
      <c r="AX13" s="19">
        <f>'Quotité d''intéret + revenus det'!AX29</f>
        <v>1947668.93</v>
      </c>
      <c r="AY13" s="19">
        <f>'Quotité d''intéret + revenus det'!AY29</f>
        <v>19230755.620000001</v>
      </c>
      <c r="AZ13" s="19">
        <f>'Quotité d''intéret + revenus det'!AZ29</f>
        <v>3159146.96</v>
      </c>
      <c r="BA13" s="19">
        <f>'Quotité d''intéret + revenus det'!BA29</f>
        <v>10495924.960000001</v>
      </c>
      <c r="BB13" s="19">
        <f>'Quotité d''intéret + revenus det'!BB29</f>
        <v>71272475.480000004</v>
      </c>
      <c r="BC13" s="19">
        <f>'Quotité d''intéret + revenus det'!BC29</f>
        <v>4530485.67</v>
      </c>
      <c r="BD13" s="19">
        <f>SUM(E13:W13)</f>
        <v>347960958.16000009</v>
      </c>
      <c r="BE13" s="19">
        <f>SUM(X13:AI13)</f>
        <v>51698414.450000003</v>
      </c>
      <c r="BF13" s="19">
        <f>SUM(AJ13:BC13)</f>
        <v>216054293.75999996</v>
      </c>
    </row>
    <row r="14" spans="1:58" ht="15.75" thickBot="1" x14ac:dyDescent="0.3">
      <c r="D14" s="185"/>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row>
    <row r="15" spans="1:58" ht="15.75" thickBot="1" x14ac:dyDescent="0.3">
      <c r="A15" s="8" t="s">
        <v>492</v>
      </c>
      <c r="D15" s="184">
        <f>'Endett. net + degré d''auto.'!D8</f>
        <v>299202963.87999982</v>
      </c>
      <c r="E15" s="19">
        <f>'Endett. net + degré d''auto.'!E8</f>
        <v>5290418.4899999984</v>
      </c>
      <c r="F15" s="19">
        <f>'Endett. net + degré d''auto.'!F8</f>
        <v>1141874.9100000001</v>
      </c>
      <c r="G15" s="19">
        <f>'Endett. net + degré d''auto.'!G8</f>
        <v>2106738.2499999995</v>
      </c>
      <c r="H15" s="19">
        <f>'Endett. net + degré d''auto.'!H8</f>
        <v>-134688.73000000045</v>
      </c>
      <c r="I15" s="19">
        <f>'Endett. net + degré d''auto.'!I8</f>
        <v>14712211.869999997</v>
      </c>
      <c r="J15" s="19">
        <f>'Endett. net + degré d''auto.'!J8</f>
        <v>15893779.779999997</v>
      </c>
      <c r="K15" s="19">
        <f>'Endett. net + degré d''auto.'!K8</f>
        <v>-643488.3599999994</v>
      </c>
      <c r="L15" s="19">
        <f>'Endett. net + degré d''auto.'!L8</f>
        <v>110066288.14999999</v>
      </c>
      <c r="M15" s="19">
        <f>'Endett. net + degré d''auto.'!M8</f>
        <v>4317931.2300000004</v>
      </c>
      <c r="N15" s="19">
        <f>'Endett. net + degré d''auto.'!N8</f>
        <v>570673.89</v>
      </c>
      <c r="O15" s="19">
        <f>'Endett. net + degré d''auto.'!O8</f>
        <v>30964330.889999993</v>
      </c>
      <c r="P15" s="19">
        <f>'Endett. net + degré d''auto.'!P8</f>
        <v>888016.60999999987</v>
      </c>
      <c r="Q15" s="19">
        <f>'Endett. net + degré d''auto.'!Q8</f>
        <v>11386.760000000009</v>
      </c>
      <c r="R15" s="19">
        <f>'Endett. net + degré d''auto.'!R8</f>
        <v>1770576.3899999997</v>
      </c>
      <c r="S15" s="19">
        <f>'Endett. net + degré d''auto.'!S8</f>
        <v>1463169.71</v>
      </c>
      <c r="T15" s="19">
        <f>'Endett. net + degré d''auto.'!T8</f>
        <v>-743512.45000000019</v>
      </c>
      <c r="U15" s="19">
        <f>'Endett. net + degré d''auto.'!U8</f>
        <v>444901.06999999983</v>
      </c>
      <c r="V15" s="19">
        <f>'Endett. net + degré d''auto.'!V8</f>
        <v>1713154.3600000003</v>
      </c>
      <c r="W15" s="19">
        <f>'Endett. net + degré d''auto.'!W8</f>
        <v>10958343.489999998</v>
      </c>
      <c r="X15" s="19">
        <f>'Endett. net + degré d''auto.'!X8</f>
        <v>-1203423.29</v>
      </c>
      <c r="Y15" s="19">
        <f>'Endett. net + degré d''auto.'!Y8</f>
        <v>4654764.13</v>
      </c>
      <c r="Z15" s="19">
        <f>'Endett. net + degré d''auto.'!Z8</f>
        <v>-18897615.359999999</v>
      </c>
      <c r="AA15" s="19">
        <f>'Endett. net + degré d''auto.'!AA8</f>
        <v>-311705.83000000031</v>
      </c>
      <c r="AB15" s="19">
        <f>'Endett. net + degré d''auto.'!AB8</f>
        <v>1602894.2400000002</v>
      </c>
      <c r="AC15" s="19">
        <f>'Endett. net + degré d''auto.'!AC8</f>
        <v>5212767.07</v>
      </c>
      <c r="AD15" s="19">
        <f>'Endett. net + degré d''auto.'!AD8</f>
        <v>2044065.0999999996</v>
      </c>
      <c r="AE15" s="19">
        <f>'Endett. net + degré d''auto.'!AE8</f>
        <v>-2310653.7200000007</v>
      </c>
      <c r="AF15" s="19">
        <f>'Endett. net + degré d''auto.'!AF8</f>
        <v>-2526301.2300000014</v>
      </c>
      <c r="AG15" s="19">
        <f>'Endett. net + degré d''auto.'!AG8</f>
        <v>5308249.0700000022</v>
      </c>
      <c r="AH15" s="19">
        <f>'Endett. net + degré d''auto.'!AH8</f>
        <v>-121150.15999999992</v>
      </c>
      <c r="AI15" s="19">
        <f>'Endett. net + degré d''auto.'!AI8</f>
        <v>-1098503.99</v>
      </c>
      <c r="AJ15" s="19">
        <f>'Endett. net + degré d''auto.'!AJ8</f>
        <v>10810326.440000001</v>
      </c>
      <c r="AK15" s="19">
        <f>'Endett. net + degré d''auto.'!AK8</f>
        <v>2588368.83</v>
      </c>
      <c r="AL15" s="19">
        <f>'Endett. net + degré d''auto.'!AL8</f>
        <v>7182883.3799999999</v>
      </c>
      <c r="AM15" s="19">
        <f>'Endett. net + degré d''auto.'!AM8</f>
        <v>-74131.520000000019</v>
      </c>
      <c r="AN15" s="19">
        <f>'Endett. net + degré d''auto.'!AN8</f>
        <v>-7028953.0700000003</v>
      </c>
      <c r="AO15" s="19">
        <f>'Endett. net + degré d''auto.'!AO8</f>
        <v>2433910.9000000004</v>
      </c>
      <c r="AP15" s="19">
        <f>'Endett. net + degré d''auto.'!AP8</f>
        <v>2150490.7100000004</v>
      </c>
      <c r="AQ15" s="19">
        <f>'Endett. net + degré d''auto.'!AQ8</f>
        <v>-308776.70999999717</v>
      </c>
      <c r="AR15" s="19">
        <f>'Endett. net + degré d''auto.'!AR8</f>
        <v>3098658.07</v>
      </c>
      <c r="AS15" s="19">
        <f>'Endett. net + degré d''auto.'!AS8</f>
        <v>5239680.2300000014</v>
      </c>
      <c r="AT15" s="19">
        <f>'Endett. net + degré d''auto.'!AT8</f>
        <v>-1100260.1800000002</v>
      </c>
      <c r="AU15" s="19">
        <f>'Endett. net + degré d''auto.'!AU8</f>
        <v>10479919.150000002</v>
      </c>
      <c r="AV15" s="19">
        <f>'Endett. net + degré d''auto.'!AV8</f>
        <v>2783262.1399999987</v>
      </c>
      <c r="AW15" s="19">
        <f>'Endett. net + degré d''auto.'!AW8</f>
        <v>-699037.84</v>
      </c>
      <c r="AX15" s="19">
        <f>'Endett. net + degré d''auto.'!AX8</f>
        <v>-245412.23000000045</v>
      </c>
      <c r="AY15" s="19">
        <f>'Endett. net + degré d''auto.'!AY8</f>
        <v>14921720.279999997</v>
      </c>
      <c r="AZ15" s="19">
        <f>'Endett. net + degré d''auto.'!AZ8</f>
        <v>216705.85999999987</v>
      </c>
      <c r="BA15" s="19">
        <f>'Endett. net + degré d''auto.'!BA8</f>
        <v>5601501.8699999992</v>
      </c>
      <c r="BB15" s="19">
        <f>'Endett. net + degré d''auto.'!BB8</f>
        <v>45923400.93</v>
      </c>
      <c r="BC15" s="19">
        <f>'Endett. net + degré d''auto.'!BC8</f>
        <v>2083214.2999999998</v>
      </c>
      <c r="BD15" s="19">
        <f>SUM(E15:W15)</f>
        <v>200792106.30999997</v>
      </c>
      <c r="BE15" s="19">
        <f>SUM(X15:AI15)</f>
        <v>-7646613.9699999988</v>
      </c>
      <c r="BF15" s="19">
        <f t="shared" ref="BF15:BF41" si="0">SUM(AJ15:BC15)</f>
        <v>106057471.53999999</v>
      </c>
    </row>
    <row r="16" spans="1:58" ht="15.75" thickBot="1" x14ac:dyDescent="0.3">
      <c r="D16" s="185"/>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row>
    <row r="17" spans="1:58" ht="15.75" thickBot="1" x14ac:dyDescent="0.3">
      <c r="A17" s="8" t="s">
        <v>498</v>
      </c>
      <c r="D17" s="184">
        <f>'Endett. net + degré d''auto.'!D17</f>
        <v>139.34158513558398</v>
      </c>
      <c r="E17" s="19">
        <f>'Endett. net + degré d''auto.'!E17</f>
        <v>197.73056050654719</v>
      </c>
      <c r="F17" s="19">
        <f>'Endett. net + degré d''auto.'!F17</f>
        <v>155.10168762874207</v>
      </c>
      <c r="G17" s="19">
        <f>'Endett. net + degré d''auto.'!G17</f>
        <v>237.94900312449928</v>
      </c>
      <c r="H17" s="19">
        <f>'Endett. net + degré d''auto.'!H17</f>
        <v>-12.637082298458635</v>
      </c>
      <c r="I17" s="19">
        <f>'Endett. net + degré d''auto.'!I17</f>
        <v>157.89201244655368</v>
      </c>
      <c r="J17" s="19">
        <f>'Endett. net + degré d''auto.'!J17</f>
        <v>172.40732768110118</v>
      </c>
      <c r="K17" s="19">
        <f>'Endett. net + degré d''auto.'!K17</f>
        <v>-8.6328620373501064</v>
      </c>
      <c r="L17" s="19">
        <f>'Endett. net + degré d''auto.'!L17</f>
        <v>304.2155164991878</v>
      </c>
      <c r="M17" s="19">
        <f>'Endett. net + degré d''auto.'!M17</f>
        <v>117.98537216574123</v>
      </c>
      <c r="N17" s="19">
        <f>'Endett. net + degré d''auto.'!N17</f>
        <v>157.21437920344559</v>
      </c>
      <c r="O17" s="19">
        <f>'Endett. net + degré d''auto.'!O17</f>
        <v>171.43026121834319</v>
      </c>
      <c r="P17" s="19">
        <f>'Endett. net + degré d''auto.'!P17</f>
        <v>62.360102589719567</v>
      </c>
      <c r="Q17" s="19">
        <f>'Endett. net + degré d''auto.'!Q17</f>
        <v>4.3281726379375192</v>
      </c>
      <c r="R17" s="19">
        <f>'Endett. net + degré d''auto.'!R17</f>
        <v>175.509857930181</v>
      </c>
      <c r="S17" s="19">
        <f>'Endett. net + degré d''auto.'!S17</f>
        <v>179.60410640050011</v>
      </c>
      <c r="T17" s="19">
        <f>'Endett. net + degré d''auto.'!T17</f>
        <v>-38.224038892429135</v>
      </c>
      <c r="U17" s="19">
        <f>'Endett. net + degré d''auto.'!U17</f>
        <v>61.141566229047626</v>
      </c>
      <c r="V17" s="19">
        <f>'Endett. net + degré d''auto.'!V17</f>
        <v>129.64134529135836</v>
      </c>
      <c r="W17" s="19">
        <f>'Endett. net + degré d''auto.'!W17</f>
        <v>133.80356894484225</v>
      </c>
      <c r="X17" s="19">
        <f>'Endett. net + degré d''auto.'!X17</f>
        <v>-133.68682783649376</v>
      </c>
      <c r="Y17" s="19">
        <f>'Endett. net + degré d''auto.'!Y17</f>
        <v>108.6427233823335</v>
      </c>
      <c r="Z17" s="19">
        <f>'Endett. net + degré d''auto.'!Z17</f>
        <v>-200.77073926260817</v>
      </c>
      <c r="AA17" s="19">
        <f>'Endett. net + degré d''auto.'!AA17</f>
        <v>-91.37144329678425</v>
      </c>
      <c r="AB17" s="19">
        <f>'Endett. net + degré d''auto.'!AB17</f>
        <v>137.70787819473182</v>
      </c>
      <c r="AC17" s="19">
        <f>'Endett. net + degré d''auto.'!AC17</f>
        <v>240.82486798945871</v>
      </c>
      <c r="AD17" s="19">
        <f>'Endett. net + degré d''auto.'!AD17</f>
        <v>140.60363165000035</v>
      </c>
      <c r="AE17" s="19">
        <f>'Endett. net + degré d''auto.'!AE17</f>
        <v>-145.99598666325511</v>
      </c>
      <c r="AF17" s="19">
        <f>'Endett. net + degré d''auto.'!AF17</f>
        <v>-37.213960408525345</v>
      </c>
      <c r="AG17" s="19">
        <f>'Endett. net + degré d''auto.'!AG17</f>
        <v>69.305279797582955</v>
      </c>
      <c r="AH17" s="19">
        <f>'Endett. net + degré d''auto.'!AH17</f>
        <v>-19.80669735242925</v>
      </c>
      <c r="AI17" s="19">
        <f>'Endett. net + degré d''auto.'!AI17</f>
        <v>-353.24561276009206</v>
      </c>
      <c r="AJ17" s="19">
        <f>'Endett. net + degré d''auto.'!AJ17</f>
        <v>207.538864059253</v>
      </c>
      <c r="AK17" s="19">
        <f>'Endett. net + degré d''auto.'!AK17</f>
        <v>92.589451218747485</v>
      </c>
      <c r="AL17" s="19">
        <f>'Endett. net + degré d''auto.'!AL17</f>
        <v>221.43885305944798</v>
      </c>
      <c r="AM17" s="19">
        <f>'Endett. net + degré d''auto.'!AM17</f>
        <v>-20.847989270522358</v>
      </c>
      <c r="AN17" s="19">
        <f>'Endett. net + degré d''auto.'!AN17</f>
        <v>-108.26238285262733</v>
      </c>
      <c r="AO17" s="19">
        <f>'Endett. net + degré d''auto.'!AO17</f>
        <v>219.33067901055176</v>
      </c>
      <c r="AP17" s="19">
        <f>'Endett. net + degré d''auto.'!AP17</f>
        <v>104.36590655636691</v>
      </c>
      <c r="AQ17" s="19">
        <f>'Endett. net + degré d''auto.'!AQ17</f>
        <v>-10.137379236296615</v>
      </c>
      <c r="AR17" s="19">
        <f>'Endett. net + degré d''auto.'!AR17</f>
        <v>164.99207077429762</v>
      </c>
      <c r="AS17" s="19">
        <f>'Endett. net + degré d''auto.'!AS17</f>
        <v>188.97301253807873</v>
      </c>
      <c r="AT17" s="19">
        <f>'Endett. net + degré d''auto.'!AT17</f>
        <v>-95.091465865137224</v>
      </c>
      <c r="AU17" s="19">
        <f>'Endett. net + degré d''auto.'!AU17</f>
        <v>172.60835972782024</v>
      </c>
      <c r="AV17" s="19">
        <f>'Endett. net + degré d''auto.'!AV17</f>
        <v>122.90002125444643</v>
      </c>
      <c r="AW17" s="19">
        <f>'Endett. net + degré d''auto.'!AW17</f>
        <v>-54.91261832930482</v>
      </c>
      <c r="AX17" s="19">
        <f>'Endett. net + degré d''auto.'!AX17</f>
        <v>-27.071829689038879</v>
      </c>
      <c r="AY17" s="19">
        <f>'Endett. net + degré d''auto.'!AY17</f>
        <v>302.71423945483178</v>
      </c>
      <c r="AZ17" s="19">
        <f>'Endett. net + degré d''auto.'!AZ17</f>
        <v>23.761688225036714</v>
      </c>
      <c r="BA17" s="19">
        <f>'Endett. net + degré d''auto.'!BA17</f>
        <v>189.23715021818342</v>
      </c>
      <c r="BB17" s="19">
        <f>'Endett. net + degré d''auto.'!BB17</f>
        <v>211.70113398534323</v>
      </c>
      <c r="BC17" s="19">
        <f>'Endett. net + degré d''auto.'!BC17</f>
        <v>129.46911730616389</v>
      </c>
      <c r="BD17" s="19">
        <f>SUM(E17:W17)</f>
        <v>2358.8208572695103</v>
      </c>
      <c r="BE17" s="19">
        <f>SUM(X17:AI17)</f>
        <v>-285.00688656608065</v>
      </c>
      <c r="BF17" s="19">
        <f t="shared" si="0"/>
        <v>2035.2968821456423</v>
      </c>
    </row>
    <row r="18" spans="1:58" ht="15" x14ac:dyDescent="0.25">
      <c r="D18" s="185"/>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row>
    <row r="19" spans="1:58" ht="15" x14ac:dyDescent="0.25">
      <c r="D19" s="185"/>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row>
    <row r="20" spans="1:58" ht="15" x14ac:dyDescent="0.25">
      <c r="A20" s="7" t="s">
        <v>500</v>
      </c>
      <c r="D20" s="185"/>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row>
    <row r="21" spans="1:58" ht="15.75" thickBot="1" x14ac:dyDescent="0.3">
      <c r="D21" s="185"/>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row>
    <row r="22" spans="1:58" ht="15.75" thickBot="1" x14ac:dyDescent="0.3">
      <c r="A22" s="8" t="s">
        <v>537</v>
      </c>
      <c r="D22" s="184">
        <f>'Endett. net + degré d''auto.'!D34</f>
        <v>45270484.170000009</v>
      </c>
      <c r="E22" s="19">
        <f>'Endett. net + degré d''auto.'!E34</f>
        <v>566192.26000000013</v>
      </c>
      <c r="F22" s="19">
        <f>'Endett. net + degré d''auto.'!F34</f>
        <v>274358.81</v>
      </c>
      <c r="G22" s="19">
        <f>'Endett. net + degré d''auto.'!G34</f>
        <v>241724.71999999997</v>
      </c>
      <c r="H22" s="19">
        <f>'Endett. net + degré d''auto.'!H34</f>
        <v>218392.13</v>
      </c>
      <c r="I22" s="19">
        <f>'Endett. net + degré d''auto.'!I34</f>
        <v>1565310.1100000003</v>
      </c>
      <c r="J22" s="19">
        <f>'Endett. net + degré d''auto.'!J34</f>
        <v>1598762.2299999997</v>
      </c>
      <c r="K22" s="19">
        <f>'Endett. net + degré d''auto.'!K34</f>
        <v>1671700.55</v>
      </c>
      <c r="L22" s="19">
        <f>'Endett. net + degré d''auto.'!L34</f>
        <v>4493827.6100000003</v>
      </c>
      <c r="M22" s="19">
        <f>'Endett. net + degré d''auto.'!M34</f>
        <v>465099.48999999993</v>
      </c>
      <c r="N22" s="19">
        <f>'Endett. net + degré d''auto.'!N34</f>
        <v>60176.340000000004</v>
      </c>
      <c r="O22" s="19">
        <f>'Endett. net + degré d''auto.'!O34</f>
        <v>1439832.8000000003</v>
      </c>
      <c r="P22" s="19">
        <f>'Endett. net + degré d''auto.'!P34</f>
        <v>323619.8</v>
      </c>
      <c r="Q22" s="19">
        <f>'Endett. net + degré d''auto.'!Q34</f>
        <v>-2619.8600000000029</v>
      </c>
      <c r="R22" s="19">
        <f>'Endett. net + degré d''auto.'!R34</f>
        <v>316823.20999999996</v>
      </c>
      <c r="S22" s="19">
        <f>'Endett. net + degré d''auto.'!S34</f>
        <v>68813.600000000006</v>
      </c>
      <c r="T22" s="19">
        <f>'Endett. net + degré d''auto.'!T34</f>
        <v>314911.34000000003</v>
      </c>
      <c r="U22" s="19">
        <f>'Endett. net + degré d''auto.'!U34</f>
        <v>101340.59999999999</v>
      </c>
      <c r="V22" s="19">
        <f>'Endett. net + degré d''auto.'!V34</f>
        <v>214946.96</v>
      </c>
      <c r="W22" s="19">
        <f>'Endett. net + degré d''auto.'!W34</f>
        <v>1628037.58</v>
      </c>
      <c r="X22" s="19">
        <f>'Endett. net + degré d''auto.'!X34</f>
        <v>193922.57</v>
      </c>
      <c r="Y22" s="19">
        <f>'Endett. net + degré d''auto.'!Y34</f>
        <v>1395777.6800000004</v>
      </c>
      <c r="Z22" s="19">
        <f>'Endett. net + degré d''auto.'!Z34</f>
        <v>6708579.9799999995</v>
      </c>
      <c r="AA22" s="19">
        <f>'Endett. net + degré d''auto.'!AA34</f>
        <v>35068.820000000007</v>
      </c>
      <c r="AB22" s="19">
        <f>'Endett. net + degré d''auto.'!AB34</f>
        <v>-91559.110000000015</v>
      </c>
      <c r="AC22" s="19">
        <f>'Endett. net + degré d''auto.'!AC34</f>
        <v>686429.99</v>
      </c>
      <c r="AD22" s="19">
        <f>'Endett. net + degré d''auto.'!AD34</f>
        <v>149830.56000000003</v>
      </c>
      <c r="AE22" s="19">
        <f>'Endett. net + degré d''auto.'!AE34</f>
        <v>619489.30999999994</v>
      </c>
      <c r="AF22" s="19">
        <f>'Endett. net + degré d''auto.'!AF34</f>
        <v>2191838.39</v>
      </c>
      <c r="AG22" s="19">
        <f>'Endett. net + degré d''auto.'!AG34</f>
        <v>2434914.7800000003</v>
      </c>
      <c r="AH22" s="19">
        <f>'Endett. net + degré d''auto.'!AH34</f>
        <v>102961.27999999998</v>
      </c>
      <c r="AI22" s="19">
        <f>'Endett. net + degré d''auto.'!AI34</f>
        <v>196793.93</v>
      </c>
      <c r="AJ22" s="19">
        <f>'Endett. net + degré d''auto.'!AJ34</f>
        <v>1414753.92</v>
      </c>
      <c r="AK22" s="19">
        <f>'Endett. net + degré d''auto.'!AK34</f>
        <v>1256881.57</v>
      </c>
      <c r="AL22" s="19">
        <f>'Endett. net + degré d''auto.'!AL34</f>
        <v>457121.82</v>
      </c>
      <c r="AM22" s="19">
        <f>'Endett. net + degré d''auto.'!AM34</f>
        <v>31070.819999999996</v>
      </c>
      <c r="AN22" s="19">
        <f>'Endett. net + degré d''auto.'!AN34</f>
        <v>2822454.7399999998</v>
      </c>
      <c r="AO22" s="19">
        <f>'Endett. net + degré d''auto.'!AO34</f>
        <v>-353294.57</v>
      </c>
      <c r="AP22" s="19">
        <f>'Endett. net + degré d''auto.'!AP34</f>
        <v>755252.61</v>
      </c>
      <c r="AQ22" s="19">
        <f>'Endett. net + degré d''auto.'!AQ34</f>
        <v>458962.86</v>
      </c>
      <c r="AR22" s="19">
        <f>'Endett. net + degré d''auto.'!AR34</f>
        <v>-54811.259999999995</v>
      </c>
      <c r="AS22" s="19">
        <f>'Endett. net + degré d''auto.'!AS34</f>
        <v>427880.12000000005</v>
      </c>
      <c r="AT22" s="19">
        <f>'Endett. net + degré d''auto.'!AT34</f>
        <v>672638.6100000001</v>
      </c>
      <c r="AU22" s="19">
        <f>'Endett. net + degré d''auto.'!AU34</f>
        <v>591332.10000000009</v>
      </c>
      <c r="AV22" s="19">
        <f>'Endett. net + degré d''auto.'!AV34</f>
        <v>375517.38</v>
      </c>
      <c r="AW22" s="19">
        <f>'Endett. net + degré d''auto.'!AW34</f>
        <v>453784.38</v>
      </c>
      <c r="AX22" s="19">
        <f>'Endett. net + degré d''auto.'!AX34</f>
        <v>144172.31</v>
      </c>
      <c r="AY22" s="19">
        <f>'Endett. net + degré d''auto.'!AY34</f>
        <v>920710.85000000009</v>
      </c>
      <c r="AZ22" s="19">
        <f>'Endett. net + degré d''auto.'!AZ34</f>
        <v>179099.26</v>
      </c>
      <c r="BA22" s="19">
        <f>'Endett. net + degré d''auto.'!BA34</f>
        <v>409558.06000000006</v>
      </c>
      <c r="BB22" s="19">
        <f>'Endett. net + degré d''auto.'!BB34</f>
        <v>3824202.4399999995</v>
      </c>
      <c r="BC22" s="19">
        <f>'Endett. net + degré d''auto.'!BC34</f>
        <v>288479.31999999995</v>
      </c>
      <c r="BD22" s="19">
        <f>SUM(E22:W22)</f>
        <v>15561250.280000003</v>
      </c>
      <c r="BE22" s="19">
        <f>SUM(X22:AI22)</f>
        <v>14624048.180000002</v>
      </c>
      <c r="BF22" s="19">
        <f t="shared" si="0"/>
        <v>15075767.340000002</v>
      </c>
    </row>
    <row r="23" spans="1:58" ht="15.75" thickBot="1" x14ac:dyDescent="0.3">
      <c r="D23" s="185"/>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row>
    <row r="24" spans="1:58" ht="15.75" thickBot="1" x14ac:dyDescent="0.3">
      <c r="A24" s="8" t="s">
        <v>558</v>
      </c>
      <c r="D24" s="184">
        <f>'Endett. net + degré d''auto.'!D41</f>
        <v>99.269771346105458</v>
      </c>
      <c r="E24" s="19">
        <f>'Endett. net + degré d''auto.'!E41</f>
        <v>37.525855382814235</v>
      </c>
      <c r="F24" s="19">
        <f>'Endett. net + degré d''auto.'!F41</f>
        <v>415.95261612679974</v>
      </c>
      <c r="G24" s="19">
        <f>'Endett. net + degré d''auto.'!G41</f>
        <v>612.62931505314771</v>
      </c>
      <c r="H24" s="19">
        <f>'Endett. net + degré d''auto.'!H41</f>
        <v>521.42635781069441</v>
      </c>
      <c r="I24" s="19">
        <f>'Endett. net + degré d''auto.'!I41</f>
        <v>27.357398910615949</v>
      </c>
      <c r="J24" s="19">
        <f>'Endett. net + degré d''auto.'!J41</f>
        <v>184.40657581610023</v>
      </c>
      <c r="K24" s="19">
        <f>'Endett. net + degré d''auto.'!K41</f>
        <v>112.07048240846301</v>
      </c>
      <c r="L24" s="19">
        <f>'Endett. net + degré d''auto.'!L41</f>
        <v>40.117801721985487</v>
      </c>
      <c r="M24" s="19">
        <f>'Endett. net + degré d''auto.'!M41</f>
        <v>68.112005197079085</v>
      </c>
      <c r="N24" s="19">
        <f>'Endett. net + degré d''auto.'!N41</f>
        <v>145.81928988132381</v>
      </c>
      <c r="O24" s="19">
        <f>'Endett. net + degré d''auto.'!O41</f>
        <v>43.229700648618696</v>
      </c>
      <c r="P24" s="19">
        <f>'Endett. net + degré d''auto.'!P41</f>
        <v>398.3423767275936</v>
      </c>
      <c r="Q24" s="19">
        <f>'Endett. net + degré d''auto.'!Q41</f>
        <v>-10.029688699344026</v>
      </c>
      <c r="R24" s="19">
        <f>'Endett. net + degré d''auto.'!R41</f>
        <v>71.078184470406356</v>
      </c>
      <c r="S24" s="19">
        <f>'Endett. net + degré d''auto.'!S41</f>
        <v>367.06166003899261</v>
      </c>
      <c r="T24" s="19">
        <f>'Endett. net + degré d''auto.'!T41</f>
        <v>935.15568786702215</v>
      </c>
      <c r="U24" s="19">
        <f>'Endett. net + degré d''auto.'!U41</f>
        <v>102.59309757240291</v>
      </c>
      <c r="V24" s="19">
        <f>'Endett. net + degré d''auto.'!V41</f>
        <v>1589.3095149191656</v>
      </c>
      <c r="W24" s="19">
        <f>'Endett. net + degré d''auto.'!W41</f>
        <v>165.54966742469986</v>
      </c>
      <c r="X24" s="19">
        <f>'Endett. net + degré d''auto.'!X41</f>
        <v>226.47150808499111</v>
      </c>
      <c r="Y24" s="19">
        <f>'Endett. net + degré d''auto.'!Y41</f>
        <v>395.90055129990805</v>
      </c>
      <c r="Z24" s="19">
        <f>'Endett. net + degré d''auto.'!Z41</f>
        <v>429.59336144809112</v>
      </c>
      <c r="AA24" s="19">
        <f>'Endett. net + degré d''auto.'!AA41</f>
        <v>-41.171918796898929</v>
      </c>
      <c r="AB24" s="19">
        <f>'Endett. net + degré d''auto.'!AB41</f>
        <v>-106.98894927557402</v>
      </c>
      <c r="AC24" s="19">
        <f>'Endett. net + degré d''auto.'!AC41</f>
        <v>318.87529180761828</v>
      </c>
      <c r="AD24" s="19">
        <f>'Endett. net + degré d''auto.'!AD41</f>
        <v>81.318546290557364</v>
      </c>
      <c r="AE24" s="19">
        <f>'Endett. net + degré d''auto.'!AE41</f>
        <v>497.41417249368578</v>
      </c>
      <c r="AF24" s="19">
        <f>'Endett. net + degré d''auto.'!AF41</f>
        <v>105.98182047603311</v>
      </c>
      <c r="AG24" s="19">
        <f>'Endett. net + degré d''auto.'!AG41</f>
        <v>337.19183101974022</v>
      </c>
      <c r="AH24" s="19">
        <f>'Endett. net + degré d''auto.'!AH41</f>
        <v>45.849229071451987</v>
      </c>
      <c r="AI24" s="19">
        <f>'Endett. net + degré d''auto.'!AI41</f>
        <v>71.040110924179828</v>
      </c>
      <c r="AJ24" s="19">
        <f>'Endett. net + degré d''auto.'!AJ41</f>
        <v>242.42089514106593</v>
      </c>
      <c r="AK24" s="19">
        <f>'Endett. net + degré d''auto.'!AK41</f>
        <v>2538.0523005159375</v>
      </c>
      <c r="AL24" s="19">
        <f>'Endett. net + degré d''auto.'!AL41</f>
        <v>39.364740763520849</v>
      </c>
      <c r="AM24" s="19">
        <f>'Endett. net + degré d''auto.'!AM41</f>
        <v>104.92715741697565</v>
      </c>
      <c r="AN24" s="19">
        <f>'Endett. net + degré d''auto.'!AN41</f>
        <v>244.25587002350429</v>
      </c>
      <c r="AO24" s="19">
        <f>'Endett. net + degré d''auto.'!AO41</f>
        <v>-375.6828243956204</v>
      </c>
      <c r="AP24" s="19">
        <f>'Endett. net + degré d''auto.'!AP41</f>
        <v>124.91652991365515</v>
      </c>
      <c r="AQ24" s="19">
        <f>'Endett. net + degré d''auto.'!AQ41</f>
        <v>-142.73791928186128</v>
      </c>
      <c r="AR24" s="19">
        <f>'Endett. net + degré d''auto.'!AR41</f>
        <v>-15.463047100978061</v>
      </c>
      <c r="AS24" s="19">
        <f>'Endett. net + degré d''auto.'!AS41</f>
        <v>193.64127452562136</v>
      </c>
      <c r="AT24" s="19">
        <f>'Endett. net + degré d''auto.'!AT41</f>
        <v>218.5167572688143</v>
      </c>
      <c r="AU24" s="19">
        <f>'Endett. net + degré d''auto.'!AU41</f>
        <v>25.042925449504693</v>
      </c>
      <c r="AV24" s="19">
        <f>'Endett. net + degré d''auto.'!AV41</f>
        <v>89.705299123346265</v>
      </c>
      <c r="AW24" s="19">
        <f>'Endett. net + degré d''auto.'!AW41</f>
        <v>429.30518376890518</v>
      </c>
      <c r="AX24" s="19">
        <f>'Endett. net + degré d''auto.'!AX41</f>
        <v>258.00480317539285</v>
      </c>
      <c r="AY24" s="19">
        <f>'Endett. net + degré d''auto.'!AY41</f>
        <v>140.54512762788204</v>
      </c>
      <c r="AZ24" s="19">
        <f>'Endett. net + degré d''auto.'!AZ41</f>
        <v>54.181710901532341</v>
      </c>
      <c r="BA24" s="19">
        <f>'Endett. net + degré d''auto.'!BA41</f>
        <v>130.4710835672268</v>
      </c>
      <c r="BB24" s="19">
        <f>'Endett. net + degré d''auto.'!BB41</f>
        <v>93.677382805019548</v>
      </c>
      <c r="BC24" s="19">
        <f>'Endett. net + degré d''auto.'!BC41</f>
        <v>54.411622023933013</v>
      </c>
      <c r="BD24" s="19">
        <f>SUM(E24:W24)</f>
        <v>5827.707899278581</v>
      </c>
      <c r="BE24" s="19">
        <f>SUM(X24:AI24)</f>
        <v>2361.4755548437838</v>
      </c>
      <c r="BF24" s="19">
        <f t="shared" si="0"/>
        <v>4447.5568732333786</v>
      </c>
    </row>
    <row r="25" spans="1:58" ht="15" x14ac:dyDescent="0.25">
      <c r="D25" s="185"/>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row>
    <row r="26" spans="1:58" ht="15.75" thickBot="1" x14ac:dyDescent="0.3">
      <c r="D26" s="185"/>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row>
    <row r="27" spans="1:58" ht="15.75" thickBot="1" x14ac:dyDescent="0.3">
      <c r="A27" s="7" t="s">
        <v>559</v>
      </c>
      <c r="D27" s="184">
        <f>'Quotité d''intéret + revenus det'!D18</f>
        <v>0.96859580214452445</v>
      </c>
      <c r="E27" s="19">
        <f>'Quotité d''intéret + revenus det'!E18</f>
        <v>2.7617367831588808</v>
      </c>
      <c r="F27" s="19">
        <f>'Quotité d''intéret + revenus det'!F18</f>
        <v>2.0369224751219632</v>
      </c>
      <c r="G27" s="19">
        <f>'Quotité d''intéret + revenus det'!G18</f>
        <v>2.1714317683516149</v>
      </c>
      <c r="H27" s="19">
        <f>'Quotité d''intéret + revenus det'!H18</f>
        <v>2.4496366588771887</v>
      </c>
      <c r="I27" s="19">
        <f>'Quotité d''intéret + revenus det'!I18</f>
        <v>1.0310368438926032</v>
      </c>
      <c r="J27" s="19">
        <f>'Quotité d''intéret + revenus det'!J18</f>
        <v>1.5084344656928534</v>
      </c>
      <c r="K27" s="19">
        <f>'Quotité d''intéret + revenus det'!K18</f>
        <v>0.80223312004809688</v>
      </c>
      <c r="L27" s="19">
        <f>'Quotité d''intéret + revenus det'!L18</f>
        <v>1.2782728301858679</v>
      </c>
      <c r="M27" s="19">
        <f>'Quotité d''intéret + revenus det'!M18</f>
        <v>0.17057832854614213</v>
      </c>
      <c r="N27" s="19">
        <f>'Quotité d''intéret + revenus det'!N18</f>
        <v>1.0847869791760789</v>
      </c>
      <c r="O27" s="19">
        <f>'Quotité d''intéret + revenus det'!O18</f>
        <v>0.92096708491714085</v>
      </c>
      <c r="P27" s="19">
        <f>'Quotité d''intéret + revenus det'!P18</f>
        <v>1.4865234676225696</v>
      </c>
      <c r="Q27" s="19">
        <f>'Quotité d''intéret + revenus det'!Q18</f>
        <v>1.7317775367336035</v>
      </c>
      <c r="R27" s="19">
        <f>'Quotité d''intéret + revenus det'!R18</f>
        <v>0.42424545509823369</v>
      </c>
      <c r="S27" s="19">
        <f>'Quotité d''intéret + revenus det'!S18</f>
        <v>4.0194990230548235</v>
      </c>
      <c r="T27" s="19">
        <f>'Quotité d''intéret + revenus det'!T18</f>
        <v>0.32545371673693929</v>
      </c>
      <c r="U27" s="19">
        <f>'Quotité d''intéret + revenus det'!U18</f>
        <v>1.0129073801924398</v>
      </c>
      <c r="V27" s="19">
        <f>'Quotité d''intéret + revenus det'!V18</f>
        <v>0.69755374023054384</v>
      </c>
      <c r="W27" s="19">
        <f>'Quotité d''intéret + revenus det'!W18</f>
        <v>0.84510998307275198</v>
      </c>
      <c r="X27" s="19">
        <f>'Quotité d''intéret + revenus det'!X18</f>
        <v>-0.33772612890802706</v>
      </c>
      <c r="Y27" s="19">
        <f>'Quotité d''intéret + revenus det'!Y18</f>
        <v>1.0031189846687212</v>
      </c>
      <c r="Z27" s="19">
        <f>'Quotité d''intéret + revenus det'!Z18</f>
        <v>-0.81861773021831385</v>
      </c>
      <c r="AA27" s="19">
        <f>'Quotité d''intéret + revenus det'!AA18</f>
        <v>-1.8927914161279133E-2</v>
      </c>
      <c r="AB27" s="19">
        <f>'Quotité d''intéret + revenus det'!AB18</f>
        <v>1.8427966437882335</v>
      </c>
      <c r="AC27" s="19">
        <f>'Quotité d''intéret + revenus det'!AC18</f>
        <v>1.4285214036845992</v>
      </c>
      <c r="AD27" s="19">
        <f>'Quotité d''intéret + revenus det'!AD18</f>
        <v>0.93650391399403665</v>
      </c>
      <c r="AE27" s="19">
        <f>'Quotité d''intéret + revenus det'!AE18</f>
        <v>-0.13693555440777702</v>
      </c>
      <c r="AF27" s="19">
        <f>'Quotité d''intéret + revenus det'!AF18</f>
        <v>-0.10013782918423643</v>
      </c>
      <c r="AG27" s="19">
        <f>'Quotité d''intéret + revenus det'!AG18</f>
        <v>0.3348654090784951</v>
      </c>
      <c r="AH27" s="19">
        <f>'Quotité d''intéret + revenus det'!AH18</f>
        <v>0.49312626099755974</v>
      </c>
      <c r="AI27" s="19">
        <f>'Quotité d''intéret + revenus det'!AI18</f>
        <v>0.22930189049558358</v>
      </c>
      <c r="AJ27" s="19">
        <f>'Quotité d''intéret + revenus det'!AJ18</f>
        <v>1.1104016009216284</v>
      </c>
      <c r="AK27" s="19">
        <f>'Quotité d''intéret + revenus det'!AK18</f>
        <v>6.5796097568217374E-2</v>
      </c>
      <c r="AL27" s="19">
        <f>'Quotité d''intéret + revenus det'!AL18</f>
        <v>1.5529202183343074</v>
      </c>
      <c r="AM27" s="19">
        <f>'Quotité d''intéret + revenus det'!AM18</f>
        <v>1.7046123171684995</v>
      </c>
      <c r="AN27" s="19">
        <f>'Quotité d''intéret + revenus det'!AN18</f>
        <v>0.34000818461416921</v>
      </c>
      <c r="AO27" s="19">
        <f>'Quotité d''intéret + revenus det'!AO18</f>
        <v>1.211337432810367</v>
      </c>
      <c r="AP27" s="19">
        <f>'Quotité d''intéret + revenus det'!AP18</f>
        <v>1.643838678107765</v>
      </c>
      <c r="AQ27" s="19">
        <f>'Quotité d''intéret + revenus det'!AQ18</f>
        <v>0.77911487473962371</v>
      </c>
      <c r="AR27" s="19">
        <f>'Quotité d''intéret + revenus det'!AR18</f>
        <v>0.87055704831687919</v>
      </c>
      <c r="AS27" s="19">
        <f>'Quotité d''intéret + revenus det'!AS18</f>
        <v>1.0466875175088293</v>
      </c>
      <c r="AT27" s="19">
        <f>'Quotité d''intéret + revenus det'!AT18</f>
        <v>0.74334907981031295</v>
      </c>
      <c r="AU27" s="19">
        <f>'Quotité d''intéret + revenus det'!AU18</f>
        <v>1.2196666483069054</v>
      </c>
      <c r="AV27" s="19">
        <f>'Quotité d''intéret + revenus det'!AV18</f>
        <v>1.1559032760002277</v>
      </c>
      <c r="AW27" s="19">
        <f>'Quotité d''intéret + revenus det'!AW18</f>
        <v>-0.38679256371003523</v>
      </c>
      <c r="AX27" s="19">
        <f>'Quotité d''intéret + revenus det'!AX18</f>
        <v>0.27999401002362456</v>
      </c>
      <c r="AY27" s="19">
        <f>'Quotité d''intéret + revenus det'!AY18</f>
        <v>3.0354836157296603</v>
      </c>
      <c r="AZ27" s="19">
        <f>'Quotité d''intéret + revenus det'!AZ18</f>
        <v>1.1468817472118464</v>
      </c>
      <c r="BA27" s="19">
        <f>'Quotité d''intéret + revenus det'!BA18</f>
        <v>1.1636713960545157</v>
      </c>
      <c r="BB27" s="19">
        <f>'Quotité d''intéret + revenus det'!BB18</f>
        <v>1.0347886192789892</v>
      </c>
      <c r="BC27" s="19">
        <f>'Quotité d''intéret + revenus det'!BC18</f>
        <v>-0.86197738602756657</v>
      </c>
      <c r="BD27" s="19">
        <f>SUM(E27:W27)</f>
        <v>26.759107640710337</v>
      </c>
      <c r="BE27" s="19">
        <f>SUM(X27:AI27)</f>
        <v>4.8558893498275957</v>
      </c>
      <c r="BF27" s="19">
        <f t="shared" si="0"/>
        <v>18.856242412768765</v>
      </c>
    </row>
    <row r="28" spans="1:58" ht="15.75" thickBot="1" x14ac:dyDescent="0.3">
      <c r="D28" s="185"/>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row>
    <row r="29" spans="1:58" ht="15.75" thickBot="1" x14ac:dyDescent="0.3">
      <c r="A29" s="7" t="s">
        <v>560</v>
      </c>
      <c r="D29" s="184">
        <f>'Quotité d''intéret + revenus det'!D33</f>
        <v>143.04566290899561</v>
      </c>
      <c r="E29" s="19">
        <f>'Quotité d''intéret + revenus det'!E33</f>
        <v>267.55125516673445</v>
      </c>
      <c r="F29" s="19">
        <f>'Quotité d''intéret + revenus det'!F33</f>
        <v>185.5054776489122</v>
      </c>
      <c r="G29" s="19">
        <f>'Quotité d''intéret + revenus det'!G33</f>
        <v>297.80855784299638</v>
      </c>
      <c r="H29" s="19">
        <f>'Quotité d''intéret + revenus det'!H33</f>
        <v>187.2076908185505</v>
      </c>
      <c r="I29" s="19">
        <f>'Quotité d''intéret + revenus det'!I33</f>
        <v>174.61682330183223</v>
      </c>
      <c r="J29" s="19">
        <f>'Quotité d''intéret + revenus det'!J33</f>
        <v>151.76606612101807</v>
      </c>
      <c r="K29" s="19">
        <f>'Quotité d''intéret + revenus det'!K33</f>
        <v>85.025861006201339</v>
      </c>
      <c r="L29" s="19">
        <f>'Quotité d''intéret + revenus det'!L33</f>
        <v>149.61829314636211</v>
      </c>
      <c r="M29" s="19">
        <f>'Quotité d''intéret + revenus det'!M33</f>
        <v>90.906766499411049</v>
      </c>
      <c r="N29" s="19">
        <f>'Quotité d''intéret + revenus det'!N33</f>
        <v>139.43807665626321</v>
      </c>
      <c r="O29" s="19">
        <f>'Quotité d''intéret + revenus det'!O33</f>
        <v>163.24766409780631</v>
      </c>
      <c r="P29" s="19">
        <f>'Quotité d''intéret + revenus det'!P33</f>
        <v>128.80122708611665</v>
      </c>
      <c r="Q29" s="19">
        <f>'Quotité d''intéret + revenus det'!Q33</f>
        <v>122.41030728356013</v>
      </c>
      <c r="R29" s="19">
        <f>'Quotité d''intéret + revenus det'!R33</f>
        <v>196.12611442205554</v>
      </c>
      <c r="S29" s="19">
        <f>'Quotité d''intéret + revenus det'!S33</f>
        <v>269.10275682899186</v>
      </c>
      <c r="T29" s="19">
        <f>'Quotité d''intéret + revenus det'!T33</f>
        <v>142.00795283218264</v>
      </c>
      <c r="U29" s="19">
        <f>'Quotité d''intéret + revenus det'!U33</f>
        <v>118.1803701309511</v>
      </c>
      <c r="V29" s="19">
        <f>'Quotité d''intéret + revenus det'!V33</f>
        <v>135.60598111413427</v>
      </c>
      <c r="W29" s="19">
        <f>'Quotité d''intéret + revenus det'!W33</f>
        <v>122.43971933888974</v>
      </c>
      <c r="X29" s="19">
        <f>'Quotité d''intéret + revenus det'!X33</f>
        <v>29.47530539712583</v>
      </c>
      <c r="Y29" s="19">
        <f>'Quotité d''intéret + revenus det'!Y33</f>
        <v>110.01275930243138</v>
      </c>
      <c r="Z29" s="19">
        <f>'Quotité d''intéret + revenus det'!Z33</f>
        <v>19.026066290541969</v>
      </c>
      <c r="AA29" s="19">
        <f>'Quotité d''intéret + revenus det'!AA33</f>
        <v>172.9565312697427</v>
      </c>
      <c r="AB29" s="19">
        <f>'Quotité d''intéret + revenus det'!AB33</f>
        <v>178.43289498124341</v>
      </c>
      <c r="AC29" s="19">
        <f>'Quotité d''intéret + revenus det'!AC33</f>
        <v>170.36128320673188</v>
      </c>
      <c r="AD29" s="19">
        <f>'Quotité d''intéret + revenus det'!AD33</f>
        <v>145.13723806571139</v>
      </c>
      <c r="AE29" s="19">
        <f>'Quotité d''intéret + revenus det'!AE33</f>
        <v>10.522922285614248</v>
      </c>
      <c r="AF29" s="19">
        <f>'Quotité d''intéret + revenus det'!AF33</f>
        <v>46.261045891552932</v>
      </c>
      <c r="AG29" s="19">
        <f>'Quotité d''intéret + revenus det'!AG33</f>
        <v>114.24106013959525</v>
      </c>
      <c r="AH29" s="19">
        <f>'Quotité d''intéret + revenus det'!AH33</f>
        <v>148.59288255302928</v>
      </c>
      <c r="AI29" s="19">
        <f>'Quotité d''intéret + revenus det'!AI33</f>
        <v>103.49158230106053</v>
      </c>
      <c r="AJ29" s="19">
        <f>'Quotité d''intéret + revenus det'!AJ33</f>
        <v>198.06399283610756</v>
      </c>
      <c r="AK29" s="19">
        <f>'Quotité d''intéret + revenus det'!AK33</f>
        <v>129.70116071192896</v>
      </c>
      <c r="AL29" s="19">
        <f>'Quotité d''intéret + revenus det'!AL33</f>
        <v>224.69209607585907</v>
      </c>
      <c r="AM29" s="19">
        <f>'Quotité d''intéret + revenus det'!AM33</f>
        <v>213.55376953589058</v>
      </c>
      <c r="AN29" s="19">
        <f>'Quotité d''intéret + revenus det'!AN33</f>
        <v>81.554118757015772</v>
      </c>
      <c r="AO29" s="19">
        <f>'Quotité d''intéret + revenus det'!AO33</f>
        <v>143.51747045937989</v>
      </c>
      <c r="AP29" s="19">
        <f>'Quotité d''intéret + revenus det'!AP33</f>
        <v>163.10316148298841</v>
      </c>
      <c r="AQ29" s="19">
        <f>'Quotité d''intéret + revenus det'!AQ33</f>
        <v>148.3052973360181</v>
      </c>
      <c r="AR29" s="19">
        <f>'Quotité d''intéret + revenus det'!AR33</f>
        <v>178.12431561296782</v>
      </c>
      <c r="AS29" s="19">
        <f>'Quotité d''intéret + revenus det'!AS33</f>
        <v>193.84109406011746</v>
      </c>
      <c r="AT29" s="19">
        <f>'Quotité d''intéret + revenus det'!AT33</f>
        <v>98.992292334749223</v>
      </c>
      <c r="AU29" s="19">
        <f>'Quotité d''intéret + revenus det'!AU33</f>
        <v>144.38762281754686</v>
      </c>
      <c r="AV29" s="19">
        <f>'Quotité d''intéret + revenus det'!AV33</f>
        <v>163.59288397932758</v>
      </c>
      <c r="AW29" s="19">
        <f>'Quotité d''intéret + revenus det'!AW33</f>
        <v>38.36534446552708</v>
      </c>
      <c r="AX29" s="19">
        <f>'Quotité d''intéret + revenus det'!AX33</f>
        <v>139.22491381259917</v>
      </c>
      <c r="AY29" s="19">
        <f>'Quotité d''intéret + revenus det'!AY33</f>
        <v>258.70251135798969</v>
      </c>
      <c r="AZ29" s="19">
        <f>'Quotité d''intéret + revenus det'!AZ33</f>
        <v>169.11306736641563</v>
      </c>
      <c r="BA29" s="19">
        <f>'Quotité d''intéret + revenus det'!BA33</f>
        <v>183.63513153087172</v>
      </c>
      <c r="BB29" s="19">
        <f>'Quotité d''intéret + revenus det'!BB33</f>
        <v>167.94781047275507</v>
      </c>
      <c r="BC29" s="19">
        <f>'Quotité d''intéret + revenus det'!BC33</f>
        <v>172.03442098213998</v>
      </c>
      <c r="BD29" s="19">
        <f>SUM(E29:W29)</f>
        <v>3127.3669613429702</v>
      </c>
      <c r="BE29" s="19">
        <f>SUM(X29:AI29)</f>
        <v>1248.5115716843809</v>
      </c>
      <c r="BF29" s="19">
        <f t="shared" si="0"/>
        <v>3210.4524759881956</v>
      </c>
    </row>
    <row r="30" spans="1:58" ht="15.75" thickBot="1" x14ac:dyDescent="0.3">
      <c r="D30" s="185"/>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row>
    <row r="31" spans="1:58" ht="15.75" thickBot="1" x14ac:dyDescent="0.3">
      <c r="A31" s="7" t="s">
        <v>519</v>
      </c>
      <c r="D31" s="184">
        <f>'Quotité d''invest + fin.'!D19</f>
        <v>13.802216702819942</v>
      </c>
      <c r="E31" s="19">
        <f>'Quotité d''invest + fin.'!E19</f>
        <v>33.249915186703397</v>
      </c>
      <c r="F31" s="19">
        <f>'Quotité d''invest + fin.'!F19</f>
        <v>6.4844388714952945</v>
      </c>
      <c r="G31" s="19">
        <f>'Quotité d''invest + fin.'!G19</f>
        <v>2.5776838375043054</v>
      </c>
      <c r="H31" s="19">
        <f>'Quotité d''invest + fin.'!H19</f>
        <v>2.1222353464429013</v>
      </c>
      <c r="I31" s="19">
        <f>'Quotité d''invest + fin.'!I19</f>
        <v>28.3565808956448</v>
      </c>
      <c r="J31" s="19">
        <f>'Quotité d''invest + fin.'!J19</f>
        <v>8.2109134470636178</v>
      </c>
      <c r="K31" s="19">
        <f>'Quotité d''invest + fin.'!K19</f>
        <v>13.397147008629172</v>
      </c>
      <c r="L31" s="19">
        <f>'Quotité d''invest + fin.'!L19</f>
        <v>11.845270716448269</v>
      </c>
      <c r="M31" s="19">
        <f>'Quotité d''invest + fin.'!M19</f>
        <v>22.598041881582748</v>
      </c>
      <c r="N31" s="19">
        <f>'Quotité d''invest + fin.'!N19</f>
        <v>8.2092848791886244</v>
      </c>
      <c r="O31" s="19">
        <f>'Quotité d''invest + fin.'!O19</f>
        <v>18.063015615255836</v>
      </c>
      <c r="P31" s="19">
        <f>'Quotité d''invest + fin.'!P19</f>
        <v>4.5424090257455463</v>
      </c>
      <c r="Q31" s="19">
        <f>'Quotité d''invest + fin.'!Q19</f>
        <v>6.3483233614547263</v>
      </c>
      <c r="R31" s="19">
        <f>'Quotité d''invest + fin.'!R19</f>
        <v>28.540752441319473</v>
      </c>
      <c r="S31" s="19">
        <f>'Quotité d''invest + fin.'!S19</f>
        <v>1.4276039262136855</v>
      </c>
      <c r="T31" s="19">
        <f>'Quotité d''invest + fin.'!T19</f>
        <v>1.303428332567748</v>
      </c>
      <c r="U31" s="19">
        <f>'Quotité d''invest + fin.'!U19</f>
        <v>9.254445401469793</v>
      </c>
      <c r="V31" s="19">
        <f>'Quotité d''invest + fin.'!V19</f>
        <v>0.61179234627240076</v>
      </c>
      <c r="W31" s="19">
        <f>'Quotité d''invest + fin.'!W19</f>
        <v>14.028710356676067</v>
      </c>
      <c r="X31" s="19">
        <f>'Quotité d''invest + fin.'!X19</f>
        <v>5.8613482471366716</v>
      </c>
      <c r="Y31" s="19">
        <f>'Quotité d''invest + fin.'!Y19</f>
        <v>6.7669529318173884</v>
      </c>
      <c r="Z31" s="19">
        <f>'Quotité d''invest + fin.'!Z19</f>
        <v>11.480716343538987</v>
      </c>
      <c r="AA31" s="19">
        <f>'Quotité d''invest + fin.'!AA19</f>
        <v>20.774959659648708</v>
      </c>
      <c r="AB31" s="19">
        <f>'Quotité d''invest + fin.'!AB19</f>
        <v>3.9634498071673003</v>
      </c>
      <c r="AC31" s="19">
        <f>'Quotité d''invest + fin.'!AC19</f>
        <v>19.650798538058893</v>
      </c>
      <c r="AD31" s="19">
        <f>'Quotité d''invest + fin.'!AD19</f>
        <v>7.1234881199954954</v>
      </c>
      <c r="AE31" s="19">
        <f>'Quotité d''invest + fin.'!AE19</f>
        <v>8.0924980689531498</v>
      </c>
      <c r="AF31" s="19">
        <f>'Quotité d''invest + fin.'!AF19</f>
        <v>19.774576973986818</v>
      </c>
      <c r="AG31" s="19">
        <f>'Quotité d''invest + fin.'!AG19</f>
        <v>7.7136518903695013</v>
      </c>
      <c r="AH31" s="19">
        <f>'Quotité d''invest + fin.'!AH19</f>
        <v>20.165863061941121</v>
      </c>
      <c r="AI31" s="19">
        <f>'Quotité d''invest + fin.'!AI19</f>
        <v>63.290572667043222</v>
      </c>
      <c r="AJ31" s="19">
        <f>'Quotité d''invest + fin.'!AJ19</f>
        <v>7.9929056176459738</v>
      </c>
      <c r="AK31" s="19">
        <f>'Quotité d''invest + fin.'!AK19</f>
        <v>2.5375040474875625</v>
      </c>
      <c r="AL31" s="19">
        <f>'Quotité d''invest + fin.'!AL19</f>
        <v>21.839620612201902</v>
      </c>
      <c r="AM31" s="19">
        <f>'Quotité d''invest + fin.'!AM19</f>
        <v>4.7094087360376546</v>
      </c>
      <c r="AN31" s="19">
        <f>'Quotité d''invest + fin.'!AN19</f>
        <v>14.193501615828563</v>
      </c>
      <c r="AO31" s="19">
        <f>'Quotité d''invest + fin.'!AO19</f>
        <v>6.3611707164617171</v>
      </c>
      <c r="AP31" s="19">
        <f>'Quotité d''invest + fin.'!AP19</f>
        <v>32.763293822036296</v>
      </c>
      <c r="AQ31" s="19">
        <f>'Quotité d''invest + fin.'!AQ19</f>
        <v>12.398439337119818</v>
      </c>
      <c r="AR31" s="19">
        <f>'Quotité d''invest + fin.'!AR19</f>
        <v>10.311499728098132</v>
      </c>
      <c r="AS31" s="19">
        <f>'Quotité d''invest + fin.'!AS19</f>
        <v>4.6314626622182642</v>
      </c>
      <c r="AT31" s="19">
        <f>'Quotité d''invest + fin.'!AT19</f>
        <v>21.107206640158584</v>
      </c>
      <c r="AU31" s="19">
        <f>'Quotité d''invest + fin.'!AU19</f>
        <v>20.674789540114961</v>
      </c>
      <c r="AV31" s="19">
        <f>'Quotité d''invest + fin.'!AV19</f>
        <v>12.101105157889581</v>
      </c>
      <c r="AW31" s="19">
        <f>'Quotité d''invest + fin.'!AW19</f>
        <v>7.9441747110024945</v>
      </c>
      <c r="AX31" s="19">
        <f>'Quotité d''invest + fin.'!AX19</f>
        <v>4.341777550676694</v>
      </c>
      <c r="AY31" s="19">
        <f>'Quotité d''invest + fin.'!AY19</f>
        <v>9.31222592963503</v>
      </c>
      <c r="AZ31" s="19">
        <f>'Quotité d''invest + fin.'!AZ19</f>
        <v>22.389642153037119</v>
      </c>
      <c r="BA31" s="19">
        <f>'Quotité d''invest + fin.'!BA19</f>
        <v>7.081235568370599</v>
      </c>
      <c r="BB31" s="19">
        <f>'Quotité d''invest + fin.'!BB19</f>
        <v>12.011573043258693</v>
      </c>
      <c r="BC31" s="19">
        <f>'Quotité d''invest + fin.'!BC19</f>
        <v>18.989286645950173</v>
      </c>
      <c r="BD31" s="19">
        <f>SUM(E31:W31)</f>
        <v>221.17199287767843</v>
      </c>
      <c r="BE31" s="19">
        <f>SUM(X31:AI31)</f>
        <v>194.65887630965724</v>
      </c>
      <c r="BF31" s="19">
        <f t="shared" si="0"/>
        <v>253.6918238352298</v>
      </c>
    </row>
    <row r="32" spans="1:58" ht="15.75" thickBot="1" x14ac:dyDescent="0.3">
      <c r="D32" s="185"/>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row>
    <row r="33" spans="1:58" ht="15.75" thickBot="1" x14ac:dyDescent="0.3">
      <c r="A33" s="7" t="s">
        <v>561</v>
      </c>
      <c r="D33" s="184">
        <f>'Quotité d''invest + fin.'!D36</f>
        <v>6.9414329893435873</v>
      </c>
      <c r="E33" s="19">
        <f>'Quotité d''invest + fin.'!E36</f>
        <v>9.47974196703729</v>
      </c>
      <c r="F33" s="19">
        <f>'Quotité d''invest + fin.'!F36</f>
        <v>9.3227387665848251</v>
      </c>
      <c r="G33" s="19">
        <f>'Quotité d''invest + fin.'!G36</f>
        <v>6.74422025013941</v>
      </c>
      <c r="H33" s="19">
        <f>'Quotité d''invest + fin.'!H36</f>
        <v>8.7668329981664304</v>
      </c>
      <c r="I33" s="19">
        <f>'Quotité d''invest + fin.'!I36</f>
        <v>7.8305642455768254</v>
      </c>
      <c r="J33" s="19">
        <f>'Quotité d''invest + fin.'!J36</f>
        <v>8.2950893455781571</v>
      </c>
      <c r="K33" s="19">
        <f>'Quotité d''invest + fin.'!K36</f>
        <v>5.9060648387146442</v>
      </c>
      <c r="L33" s="19">
        <f>'Quotité d''invest + fin.'!L36</f>
        <v>7.3540298106893554</v>
      </c>
      <c r="M33" s="19">
        <f>'Quotité d''invest + fin.'!M36</f>
        <v>5.100299598233363</v>
      </c>
      <c r="N33" s="19">
        <f>'Quotité d''invest + fin.'!N36</f>
        <v>12.998370765472467</v>
      </c>
      <c r="O33" s="19">
        <f>'Quotité d''invest + fin.'!O36</f>
        <v>6.4497379340256371</v>
      </c>
      <c r="P33" s="19">
        <f>'Quotité d''invest + fin.'!P36</f>
        <v>7.9290419843774984</v>
      </c>
      <c r="Q33" s="19">
        <f>'Quotité d''invest + fin.'!Q36</f>
        <v>5.8159785291575847</v>
      </c>
      <c r="R33" s="19">
        <f>'Quotité d''invest + fin.'!R36</f>
        <v>4.2069750383828621</v>
      </c>
      <c r="S33" s="19">
        <f>'Quotité d''invest + fin.'!S36</f>
        <v>9.3884603734620917</v>
      </c>
      <c r="T33" s="19">
        <f>'Quotité d''invest + fin.'!T36</f>
        <v>4.475047895163315</v>
      </c>
      <c r="U33" s="19">
        <f>'Quotité d''invest + fin.'!U36</f>
        <v>5.6129532566099138</v>
      </c>
      <c r="V33" s="19">
        <f>'Quotité d''invest + fin.'!V36</f>
        <v>6.119844209974004</v>
      </c>
      <c r="W33" s="19">
        <f>'Quotité d''invest + fin.'!W36</f>
        <v>8.5445443379878796</v>
      </c>
      <c r="X33" s="19">
        <f>'Quotité d''invest + fin.'!X36</f>
        <v>5.0453752419156652</v>
      </c>
      <c r="Y33" s="19">
        <f>'Quotité d''invest + fin.'!Y36</f>
        <v>5.273516491778671</v>
      </c>
      <c r="Z33" s="19">
        <f>'Quotité d''invest + fin.'!Z36</f>
        <v>1.9043234768866035</v>
      </c>
      <c r="AA33" s="19">
        <f>'Quotité d''invest + fin.'!AA36</f>
        <v>1.9309758098141314</v>
      </c>
      <c r="AB33" s="19">
        <f>'Quotité d''invest + fin.'!AB36</f>
        <v>6.0322061931897473</v>
      </c>
      <c r="AC33" s="19">
        <f>'Quotité d''invest + fin.'!AC36</f>
        <v>9.9958326428808597</v>
      </c>
      <c r="AD33" s="19">
        <f>'Quotité d''invest + fin.'!AD36</f>
        <v>7.192427690205359</v>
      </c>
      <c r="AE33" s="19">
        <f>'Quotité d''invest + fin.'!AE36</f>
        <v>2.7907985201055627</v>
      </c>
      <c r="AF33" s="19">
        <f>'Quotité d''invest + fin.'!AF36</f>
        <v>4.4792462090588954</v>
      </c>
      <c r="AG33" s="19">
        <f>'Quotité d''invest + fin.'!AG36</f>
        <v>6.5981267308068583</v>
      </c>
      <c r="AH33" s="19">
        <f>'Quotité d''invest + fin.'!AH36</f>
        <v>7.0686894438104568</v>
      </c>
      <c r="AI33" s="19">
        <f>'Quotité d''invest + fin.'!AI36</f>
        <v>2.3913115053881904</v>
      </c>
      <c r="AJ33" s="19">
        <f>'Quotité d''invest + fin.'!AJ36</f>
        <v>6.2464935787502656</v>
      </c>
      <c r="AK33" s="19">
        <f>'Quotité d''invest + fin.'!AK36</f>
        <v>5.917129296890101</v>
      </c>
      <c r="AL33" s="19">
        <f>'Quotité d''invest + fin.'!AL36</f>
        <v>7.1147721664616981</v>
      </c>
      <c r="AM33" s="19">
        <f>'Quotité d''invest + fin.'!AM36</f>
        <v>8.2438824736086076</v>
      </c>
      <c r="AN33" s="19">
        <f>'Quotité d''invest + fin.'!AN36</f>
        <v>6.4337008440325416</v>
      </c>
      <c r="AO33" s="19">
        <f>'Quotité d''invest + fin.'!AO36</f>
        <v>4.4073843579507015</v>
      </c>
      <c r="AP33" s="19">
        <f>'Quotité d''invest + fin.'!AP36</f>
        <v>16.183441556051203</v>
      </c>
      <c r="AQ33" s="19">
        <f>'Quotité d''invest + fin.'!AQ36</f>
        <v>3.8751849109153058</v>
      </c>
      <c r="AR33" s="19">
        <f>'Quotité d''invest + fin.'!AR36</f>
        <v>5.8010816750667002</v>
      </c>
      <c r="AS33" s="19">
        <f>'Quotité d''invest + fin.'!AS36</f>
        <v>6.2922872110138517</v>
      </c>
      <c r="AT33" s="19">
        <f>'Quotité d''invest + fin.'!AT36</f>
        <v>5.0554105067525814</v>
      </c>
      <c r="AU33" s="19">
        <f>'Quotité d''invest + fin.'!AU36</f>
        <v>8.3666003684341455</v>
      </c>
      <c r="AV33" s="19">
        <f>'Quotité d''invest + fin.'!AV36</f>
        <v>4.5711491752436126</v>
      </c>
      <c r="AW33" s="19">
        <f>'Quotité d''invest + fin.'!AW36</f>
        <v>3.5429220853116998</v>
      </c>
      <c r="AX33" s="19">
        <f>'Quotité d''invest + fin.'!AX36</f>
        <v>12.666255244776664</v>
      </c>
      <c r="AY33" s="19">
        <f>'Quotité d''invest + fin.'!AY36</f>
        <v>10.993495821964576</v>
      </c>
      <c r="AZ33" s="19">
        <f>'Quotité d''invest + fin.'!AZ36</f>
        <v>6.5098532391691624</v>
      </c>
      <c r="BA33" s="19">
        <f>'Quotité d''invest + fin.'!BA36</f>
        <v>8.8028976207314464</v>
      </c>
      <c r="BB33" s="19">
        <f>'Quotité d''invest + fin.'!BB36</f>
        <v>8.6519437767388059</v>
      </c>
      <c r="BC33" s="19">
        <f>'Quotité d''invest + fin.'!BC36</f>
        <v>2.6652994953119533</v>
      </c>
      <c r="BD33" s="19">
        <f>SUM(E33:W33)</f>
        <v>140.34053614533354</v>
      </c>
      <c r="BE33" s="19">
        <f>SUM(X33:AI33)</f>
        <v>60.702829955840997</v>
      </c>
      <c r="BF33" s="19">
        <f t="shared" si="0"/>
        <v>142.34118540517565</v>
      </c>
    </row>
    <row r="34" spans="1:58" ht="15.75" thickBot="1" x14ac:dyDescent="0.3">
      <c r="D34" s="185"/>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row>
    <row r="35" spans="1:58" ht="15.75" thickBot="1" x14ac:dyDescent="0.3">
      <c r="A35" s="7" t="s">
        <v>532</v>
      </c>
      <c r="D35" s="184">
        <f>'Quotité d''autofinancement'!D12</f>
        <v>4013.5612475183748</v>
      </c>
      <c r="E35" s="19">
        <f>'Quotité d''autofinancement'!E12</f>
        <v>5505.1180957336092</v>
      </c>
      <c r="F35" s="19">
        <f>'Quotité d''autofinancement'!F12</f>
        <v>4374.9996551724144</v>
      </c>
      <c r="G35" s="19">
        <f>'Quotité d''autofinancement'!G12</f>
        <v>4264.6523279352214</v>
      </c>
      <c r="H35" s="19">
        <f>'Quotité d''autofinancement'!H12</f>
        <v>-302.67130337078754</v>
      </c>
      <c r="I35" s="19">
        <f>'Quotité d''autofinancement'!I12</f>
        <v>4012.0566866648478</v>
      </c>
      <c r="J35" s="19">
        <f>'Quotité d''autofinancement'!J12</f>
        <v>4680.1471672555945</v>
      </c>
      <c r="K35" s="19">
        <f>'Quotité d''autofinancement'!K12</f>
        <v>-236.22920704845794</v>
      </c>
      <c r="L35" s="19">
        <f>'Quotité d''autofinancement'!L12</f>
        <v>8640.104258576026</v>
      </c>
      <c r="M35" s="19">
        <f>'Quotité d''autofinancement'!M12</f>
        <v>3147.1801967930032</v>
      </c>
      <c r="N35" s="19">
        <f>'Quotité d''autofinancement'!N12</f>
        <v>4877.5546153846153</v>
      </c>
      <c r="O35" s="19">
        <f>'Quotité d''autofinancement'!O12</f>
        <v>4205.967249388752</v>
      </c>
      <c r="P35" s="19">
        <f>'Quotité d''autofinancement'!P12</f>
        <v>1659.8441308411213</v>
      </c>
      <c r="Q35" s="19">
        <f>'Quotité d''autofinancement'!Q12</f>
        <v>101.66750000000009</v>
      </c>
      <c r="R35" s="19">
        <f>'Quotité d''autofinancement'!R12</f>
        <v>4215.658071428571</v>
      </c>
      <c r="S35" s="19">
        <f>'Quotité d''autofinancement'!S12</f>
        <v>4192.4633524355304</v>
      </c>
      <c r="T35" s="19">
        <f>'Quotité d''autofinancement'!T12</f>
        <v>-1014.341678035471</v>
      </c>
      <c r="U35" s="19">
        <f>'Quotité d''autofinancement'!U12</f>
        <v>1629.6742490842485</v>
      </c>
      <c r="V35" s="19">
        <f>'Quotité d''autofinancement'!V12</f>
        <v>3974.836102088168</v>
      </c>
      <c r="W35" s="19">
        <f>'Quotité d''autofinancement'!W12</f>
        <v>3352.2005169776685</v>
      </c>
      <c r="X35" s="19">
        <f>'Quotité d''autofinancement'!X12</f>
        <v>-3945.6501311475413</v>
      </c>
      <c r="Y35" s="19">
        <f>'Quotité d''autofinancement'!Y12</f>
        <v>3717.8627236421726</v>
      </c>
      <c r="Z35" s="19">
        <f>'Quotité d''autofinancement'!Z12</f>
        <v>-11508.900950060901</v>
      </c>
      <c r="AA35" s="19">
        <f>'Quotité d''autofinancement'!AA12</f>
        <v>-2091.9854362416127</v>
      </c>
      <c r="AB35" s="19">
        <f>'Quotité d''autofinancement'!AB12</f>
        <v>3142.9298823529416</v>
      </c>
      <c r="AC35" s="19">
        <f>'Quotité d''autofinancement'!AC12</f>
        <v>7341.925450704226</v>
      </c>
      <c r="AD35" s="19">
        <f>'Quotité d''autofinancement'!AD12</f>
        <v>3611.4224381625436</v>
      </c>
      <c r="AE35" s="19">
        <f>'Quotité d''autofinancement'!AE12</f>
        <v>-4548.5309448818907</v>
      </c>
      <c r="AF35" s="19">
        <f>'Quotité d''autofinancement'!AF12</f>
        <v>-1290.9050740930002</v>
      </c>
      <c r="AG35" s="19">
        <f>'Quotité d''autofinancement'!AG12</f>
        <v>2067.0751830218078</v>
      </c>
      <c r="AH35" s="19">
        <f>'Quotité d''autofinancement'!AH12</f>
        <v>-506.90443514644318</v>
      </c>
      <c r="AI35" s="19">
        <f>'Quotité d''autofinancement'!AI12</f>
        <v>-8788.0319199999994</v>
      </c>
      <c r="AJ35" s="19">
        <f>'Quotité d''autofinancement'!AJ12</f>
        <v>5668.7605873099119</v>
      </c>
      <c r="AK35" s="19">
        <f>'Quotité d''autofinancement'!AK12</f>
        <v>2282.5121957671959</v>
      </c>
      <c r="AL35" s="19">
        <f>'Quotité d''autofinancement'!AL12</f>
        <v>5970.8091271820449</v>
      </c>
      <c r="AM35" s="19">
        <f>'Quotité d''autofinancement'!AM12</f>
        <v>-661.88857142857159</v>
      </c>
      <c r="AN35" s="19">
        <f>'Quotité d''autofinancement'!AN12</f>
        <v>-6002.5218360375748</v>
      </c>
      <c r="AO35" s="19">
        <f>'Quotité d''autofinancement'!AO12</f>
        <v>3715.8945038167944</v>
      </c>
      <c r="AP35" s="19">
        <f>'Quotité d''autofinancement'!AP12</f>
        <v>3408.0676862123619</v>
      </c>
      <c r="AQ35" s="19">
        <f>'Quotité d''autofinancement'!AQ12</f>
        <v>-238.62187789798853</v>
      </c>
      <c r="AR35" s="19">
        <f>'Quotité d''autofinancement'!AR12</f>
        <v>4297.722704576976</v>
      </c>
      <c r="AS35" s="19">
        <f>'Quotité d''autofinancement'!AS12</f>
        <v>4943.0945566037744</v>
      </c>
      <c r="AT35" s="19">
        <f>'Quotité d''autofinancement'!AT12</f>
        <v>-3504.0133121019112</v>
      </c>
      <c r="AU35" s="19">
        <f>'Quotité d''autofinancement'!AU12</f>
        <v>4272.2866490012239</v>
      </c>
      <c r="AV35" s="19">
        <f>'Quotité d''autofinancement'!AV12</f>
        <v>3595.9459173126597</v>
      </c>
      <c r="AW35" s="19">
        <f>'Quotité d''autofinancement'!AW12</f>
        <v>-1925.7240771349861</v>
      </c>
      <c r="AX35" s="19">
        <f>'Quotité d''autofinancement'!AX12</f>
        <v>-739.19346385542303</v>
      </c>
      <c r="AY35" s="19">
        <f>'Quotité d''autofinancement'!AY12</f>
        <v>9059.9394535519114</v>
      </c>
      <c r="AZ35" s="19">
        <f>'Quotité d''autofinancement'!AZ12</f>
        <v>568.78178477690255</v>
      </c>
      <c r="BA35" s="19">
        <f>'Quotité d''autofinancement'!BA12</f>
        <v>5299.43412488174</v>
      </c>
      <c r="BB35" s="19">
        <f>'Quotité d''autofinancement'!BB12</f>
        <v>6957.0369534918955</v>
      </c>
      <c r="BC35" s="19">
        <f>'Quotité d''autofinancement'!BC12</f>
        <v>3808.4356489945153</v>
      </c>
      <c r="BD35" s="19">
        <f>SUM(E35:W35)</f>
        <v>61280.881987304681</v>
      </c>
      <c r="BE35" s="19">
        <f>SUM(X35:AI35)</f>
        <v>-12799.693213687693</v>
      </c>
      <c r="BF35" s="19">
        <f t="shared" si="0"/>
        <v>50776.758755023446</v>
      </c>
    </row>
    <row r="36" spans="1:58" ht="15.75" thickBot="1" x14ac:dyDescent="0.3">
      <c r="A36" s="7"/>
      <c r="D36" s="186"/>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row>
    <row r="37" spans="1:58" ht="15.75" thickBot="1" x14ac:dyDescent="0.3">
      <c r="A37" s="7" t="s">
        <v>536</v>
      </c>
      <c r="D37" s="184">
        <f>'Quotité d''autofinancement'!D21</f>
        <v>10.517464159090764</v>
      </c>
      <c r="E37" s="19">
        <f>'Quotité d''autofinancement'!E21</f>
        <v>13.590648716622805</v>
      </c>
      <c r="F37" s="19">
        <f>'Quotité d''autofinancement'!F21</f>
        <v>22.425847171193851</v>
      </c>
      <c r="G37" s="19">
        <f>'Quotité d''autofinancement'!G21</f>
        <v>14.078251335944461</v>
      </c>
      <c r="H37" s="19">
        <f>'Quotité d''autofinancement'!H21</f>
        <v>9.9665701706051699</v>
      </c>
      <c r="I37" s="19">
        <f>'Quotité d''autofinancement'!I21</f>
        <v>9.0701860334189739</v>
      </c>
      <c r="J37" s="19">
        <f>'Quotité d''autofinancement'!J21</f>
        <v>10.563755483443291</v>
      </c>
      <c r="K37" s="19">
        <f>'Quotité d''autofinancement'!K21</f>
        <v>14.244915451145893</v>
      </c>
      <c r="L37" s="19">
        <f>'Quotité d''autofinancement'!L21</f>
        <v>3.9107391265426306</v>
      </c>
      <c r="M37" s="19">
        <f>'Quotité d''autofinancement'!M21</f>
        <v>5.470482661096824</v>
      </c>
      <c r="N37" s="19">
        <f>'Quotité d''autofinancement'!N21</f>
        <v>11.74401318469585</v>
      </c>
      <c r="O37" s="19">
        <f>'Quotité d''autofinancement'!O21</f>
        <v>5.0546546890242272</v>
      </c>
      <c r="P37" s="19">
        <f>'Quotité d''autofinancement'!P21</f>
        <v>15.801649749503021</v>
      </c>
      <c r="Q37" s="19">
        <f>'Quotité d''autofinancement'!Q21</f>
        <v>-0.68005814236760531</v>
      </c>
      <c r="R37" s="19">
        <f>'Quotité d''autofinancement'!R21</f>
        <v>17.908952412135704</v>
      </c>
      <c r="S37" s="19">
        <f>'Quotité d''autofinancement'!S21</f>
        <v>4.8554858347747336</v>
      </c>
      <c r="T37" s="19">
        <f>'Quotité d''autofinancement'!T21</f>
        <v>9.2660560403600165</v>
      </c>
      <c r="U37" s="19">
        <f>'Quotité d''autofinancement'!U21</f>
        <v>9.4614019147153652</v>
      </c>
      <c r="V37" s="19">
        <f>'Quotité d''autofinancement'!V21</f>
        <v>8.8475769825821402</v>
      </c>
      <c r="W37" s="19">
        <f>'Quotité d''autofinancement'!W21</f>
        <v>12.780405164582245</v>
      </c>
      <c r="X37" s="19">
        <f>'Quotité d''autofinancement'!X21</f>
        <v>12.581107966358779</v>
      </c>
      <c r="Y37" s="19">
        <f>'Quotité d''autofinancement'!Y21</f>
        <v>19.026198377718167</v>
      </c>
      <c r="Z37" s="19">
        <f>'Quotité d''autofinancement'!Z21</f>
        <v>35.74355814401698</v>
      </c>
      <c r="AA37" s="19">
        <f>'Quotité d''autofinancement'!AA21</f>
        <v>4.9665515502981394</v>
      </c>
      <c r="AB37" s="19">
        <f>'Quotité d''autofinancement'!AB21</f>
        <v>-3.7878407458779386</v>
      </c>
      <c r="AC37" s="19">
        <f>'Quotité d''autofinancement'!AC21</f>
        <v>17.103321329356177</v>
      </c>
      <c r="AD37" s="19">
        <f>'Quotité d''autofinancement'!AD21</f>
        <v>5.7196380421350961</v>
      </c>
      <c r="AE37" s="19">
        <f>'Quotité d''autofinancement'!AE21</f>
        <v>17.041790222236312</v>
      </c>
      <c r="AF37" s="19">
        <f>'Quotité d''autofinancement'!AF21</f>
        <v>19.656929963761922</v>
      </c>
      <c r="AG37" s="19">
        <f>'Quotité d''autofinancement'!AG21</f>
        <v>17.900941556167709</v>
      </c>
      <c r="AH37" s="19">
        <f>'Quotité d''autofinancement'!AH21</f>
        <v>9.4281962545490856</v>
      </c>
      <c r="AI37" s="19">
        <f>'Quotité d''autofinancement'!AI21</f>
        <v>28.049341853488691</v>
      </c>
      <c r="AJ37" s="19">
        <f>'Quotité d''autofinancement'!AJ21</f>
        <v>16.576252243867355</v>
      </c>
      <c r="AK37" s="19">
        <f>'Quotité d''autofinancement'!AK21</f>
        <v>20.783171590270669</v>
      </c>
      <c r="AL37" s="19">
        <f>'Quotité d''autofinancement'!AL21</f>
        <v>8.3752866275708282</v>
      </c>
      <c r="AM37" s="19">
        <f>'Quotité d''autofinancement'!AM21</f>
        <v>4.7343761292320448</v>
      </c>
      <c r="AN37" s="19">
        <f>'Quotité d''autofinancement'!AN21</f>
        <v>26.714044749264872</v>
      </c>
      <c r="AO37" s="19">
        <f>'Quotité d''autofinancement'!AO21</f>
        <v>-10.264310672205191</v>
      </c>
      <c r="AP37" s="19">
        <f>'Quotité d''autofinancement'!AP21</f>
        <v>24.549210045230947</v>
      </c>
      <c r="AQ37" s="19">
        <f>'Quotité d''autofinancement'!AQ21</f>
        <v>6.7082962262547809</v>
      </c>
      <c r="AR37" s="19">
        <f>'Quotité d''autofinancement'!AR21</f>
        <v>-1.7315615052872224</v>
      </c>
      <c r="AS37" s="19">
        <f>'Quotité d''autofinancement'!AS21</f>
        <v>8.8321849253082814</v>
      </c>
      <c r="AT37" s="19">
        <f>'Quotité d''autofinancement'!AT21</f>
        <v>40.885078313589155</v>
      </c>
      <c r="AU37" s="19">
        <f>'Quotité d''autofinancement'!AU21</f>
        <v>5.645326802505263</v>
      </c>
      <c r="AV37" s="19">
        <f>'Quotité d''autofinancement'!AV21</f>
        <v>10.723563870414102</v>
      </c>
      <c r="AW37" s="19">
        <f>'Quotité d''autofinancement'!AW21</f>
        <v>22.523004631341809</v>
      </c>
      <c r="AX37" s="19">
        <f>'Quotité d''autofinancement'!AX21</f>
        <v>10.305846709745135</v>
      </c>
      <c r="AY37" s="19">
        <f>'Quotité d''autofinancement'!AY21</f>
        <v>12.385899640980897</v>
      </c>
      <c r="AZ37" s="19">
        <f>'Quotité d''autofinancement'!AZ21</f>
        <v>9.5874062223604799</v>
      </c>
      <c r="BA37" s="19">
        <f>'Quotité d''autofinancement'!BA21</f>
        <v>7.1655664940680612</v>
      </c>
      <c r="BB37" s="19">
        <f>'Quotité d''autofinancement'!BB21</f>
        <v>9.0114230251872733</v>
      </c>
      <c r="BC37" s="19">
        <f>'Quotité d''autofinancement'!BC21</f>
        <v>10.954316246964636</v>
      </c>
      <c r="BD37" s="19">
        <f>SUM(E37:W37)</f>
        <v>198.3615339800196</v>
      </c>
      <c r="BE37" s="19">
        <f>SUM(X37:AI37)</f>
        <v>183.42973451420912</v>
      </c>
      <c r="BF37" s="19">
        <f t="shared" si="0"/>
        <v>244.4643823166642</v>
      </c>
    </row>
    <row r="38" spans="1:58" ht="15.75" thickBot="1" x14ac:dyDescent="0.3">
      <c r="D38" s="185"/>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row>
    <row r="39" spans="1:58" ht="15.75" thickBot="1" x14ac:dyDescent="0.3">
      <c r="A39" s="7" t="s">
        <v>540</v>
      </c>
      <c r="D39" s="184">
        <f>'Quotité d''autofinancement'!D41</f>
        <v>-1.2558849754510975</v>
      </c>
      <c r="E39" s="19">
        <f>'Quotité d''autofinancement'!E41</f>
        <v>3.1455189498692042</v>
      </c>
      <c r="F39" s="19">
        <f>'Quotité d''autofinancement'!F41</f>
        <v>1.8353463258836182</v>
      </c>
      <c r="G39" s="19">
        <f>'Quotité d''autofinancement'!G41</f>
        <v>-30.634436437637149</v>
      </c>
      <c r="H39" s="19">
        <f>'Quotité d''autofinancement'!H41</f>
        <v>-0.93643813287001521</v>
      </c>
      <c r="I39" s="19">
        <f>'Quotité d''autofinancement'!I41</f>
        <v>-0.89932056903651392</v>
      </c>
      <c r="J39" s="19">
        <f>'Quotité d''autofinancement'!J41</f>
        <v>1.3036596437575081</v>
      </c>
      <c r="K39" s="19">
        <f>'Quotité d''autofinancement'!K41</f>
        <v>0.40037645576501674</v>
      </c>
      <c r="L39" s="19">
        <f>'Quotité d''autofinancement'!L41</f>
        <v>-2.5312362471915728</v>
      </c>
      <c r="M39" s="19">
        <f>'Quotité d''autofinancement'!M41</f>
        <v>0.29426107333063795</v>
      </c>
      <c r="N39" s="19">
        <f>'Quotité d''autofinancement'!N41</f>
        <v>-6.0194449812473376</v>
      </c>
      <c r="O39" s="19">
        <f>'Quotité d''autofinancement'!O41</f>
        <v>-0.40609236273776256</v>
      </c>
      <c r="P39" s="19">
        <f>'Quotité d''autofinancement'!P41</f>
        <v>0.91230642432105213</v>
      </c>
      <c r="Q39" s="19">
        <f>'Quotité d''autofinancement'!Q41</f>
        <v>-0.62929754755572664</v>
      </c>
      <c r="R39" s="19">
        <f>'Quotité d''autofinancement'!R41</f>
        <v>-20.440115670117464</v>
      </c>
      <c r="S39" s="19">
        <f>'Quotité d''autofinancement'!S41</f>
        <v>-3.3822496474824444</v>
      </c>
      <c r="T39" s="19">
        <f>'Quotité d''autofinancement'!T41</f>
        <v>-0.51881704583355825</v>
      </c>
      <c r="U39" s="19">
        <f>'Quotité d''autofinancement'!U41</f>
        <v>-0.34990690837497174</v>
      </c>
      <c r="V39" s="19">
        <f>'Quotité d''autofinancement'!V41</f>
        <v>0.37439720239876911</v>
      </c>
      <c r="W39" s="19">
        <f>'Quotité d''autofinancement'!W41</f>
        <v>-0.40504193535368871</v>
      </c>
      <c r="X39" s="19">
        <f>'Quotité d''autofinancement'!X41</f>
        <v>-0.38673117610020763</v>
      </c>
      <c r="Y39" s="19">
        <f>'Quotité d''autofinancement'!Y41</f>
        <v>0.62816001271601951</v>
      </c>
      <c r="Z39" s="19">
        <f>'Quotité d''autofinancement'!Z41</f>
        <v>-3.0050301362985974</v>
      </c>
      <c r="AA39" s="19">
        <f>'Quotité d''autofinancement'!AA41</f>
        <v>-6.7128831407333962</v>
      </c>
      <c r="AB39" s="19">
        <f>'Quotité d''autofinancement'!AB41</f>
        <v>4.2142677093119335E-2</v>
      </c>
      <c r="AC39" s="19">
        <f>'Quotité d''autofinancement'!AC41</f>
        <v>-1.8083404606689617</v>
      </c>
      <c r="AD39" s="19">
        <f>'Quotité d''autofinancement'!AD41</f>
        <v>1.3767240199295028</v>
      </c>
      <c r="AE39" s="19">
        <f>'Quotité d''autofinancement'!AE41</f>
        <v>-20.377384492520065</v>
      </c>
      <c r="AF39" s="19">
        <f>'Quotité d''autofinancement'!AF41</f>
        <v>-0.14174886002473261</v>
      </c>
      <c r="AG39" s="19">
        <f>'Quotité d''autofinancement'!AG41</f>
        <v>-0.40631941855004838</v>
      </c>
      <c r="AH39" s="19">
        <f>'Quotité d''autofinancement'!AH41</f>
        <v>1.2332097510713089</v>
      </c>
      <c r="AI39" s="19">
        <f>'Quotité d''autofinancement'!AI41</f>
        <v>-2.109023548665196</v>
      </c>
      <c r="AJ39" s="19">
        <f>'Quotité d''autofinancement'!AJ41</f>
        <v>1.7996895805161184</v>
      </c>
      <c r="AK39" s="19">
        <f>'Quotité d''autofinancement'!AK41</f>
        <v>-30.245215401096605</v>
      </c>
      <c r="AL39" s="19">
        <f>'Quotité d''autofinancement'!AL41</f>
        <v>1.6173439074706462</v>
      </c>
      <c r="AM39" s="19">
        <f>'Quotité d''autofinancement'!AM41</f>
        <v>0.92631325526597763</v>
      </c>
      <c r="AN39" s="19">
        <f>'Quotité d''autofinancement'!AN41</f>
        <v>-0.64074317675133841</v>
      </c>
      <c r="AO39" s="19">
        <f>'Quotité d''autofinancement'!AO41</f>
        <v>2.6014928471520529</v>
      </c>
      <c r="AP39" s="19">
        <f>'Quotité d''autofinancement'!AP41</f>
        <v>1.5539776678951691</v>
      </c>
      <c r="AQ39" s="19">
        <f>'Quotité d''autofinancement'!AQ41</f>
        <v>-6.8537124909300253</v>
      </c>
      <c r="AR39" s="19">
        <f>'Quotité d''autofinancement'!AR41</f>
        <v>-5.3276194748230123</v>
      </c>
      <c r="AS39" s="19">
        <f>'Quotité d''autofinancement'!AS41</f>
        <v>1.0393547331551996</v>
      </c>
      <c r="AT39" s="19">
        <f>'Quotité d''autofinancement'!AT41</f>
        <v>-1.6397477892054579</v>
      </c>
      <c r="AU39" s="19">
        <f>'Quotité d''autofinancement'!AU41</f>
        <v>1.8265953981145526</v>
      </c>
      <c r="AV39" s="19">
        <f>'Quotité d''autofinancement'!AV41</f>
        <v>0.81048504558774648</v>
      </c>
      <c r="AW39" s="19">
        <f>'Quotité d''autofinancement'!AW41</f>
        <v>-1.3940452937593544</v>
      </c>
      <c r="AX39" s="19">
        <f>'Quotité d''autofinancement'!AX41</f>
        <v>-3.8817239880861463</v>
      </c>
      <c r="AY39" s="19">
        <f>'Quotité d''autofinancement'!AY41</f>
        <v>2.6065024003861987</v>
      </c>
      <c r="AZ39" s="19">
        <f>'Quotité d''autofinancement'!AZ41</f>
        <v>-1.2007012751897417</v>
      </c>
      <c r="BA39" s="19">
        <f>'Quotité d''autofinancement'!BA41</f>
        <v>-0.17873430187277117</v>
      </c>
      <c r="BB39" s="19">
        <f>'Quotité d''autofinancement'!BB41</f>
        <v>0.48873102264192303</v>
      </c>
      <c r="BC39" s="19">
        <f>'Quotité d''autofinancement'!BC41</f>
        <v>-2.5965427520379412</v>
      </c>
      <c r="BD39" s="19">
        <f>SUM(E39:W39)</f>
        <v>-58.886531410112397</v>
      </c>
      <c r="BE39" s="19">
        <f>SUM(X39:AI39)</f>
        <v>-31.667224772751254</v>
      </c>
      <c r="BF39" s="19">
        <f t="shared" si="0"/>
        <v>-38.688300085566809</v>
      </c>
    </row>
    <row r="40" spans="1:58" ht="15.75" thickBot="1" x14ac:dyDescent="0.3">
      <c r="D40" s="185"/>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row>
    <row r="41" spans="1:58" ht="15.75" thickBot="1" x14ac:dyDescent="0.3">
      <c r="A41" s="7" t="s">
        <v>562</v>
      </c>
      <c r="D41" s="184">
        <f>'Quotient excédent du bilan'!D12</f>
        <v>50.211458754948765</v>
      </c>
      <c r="E41" s="19">
        <f>'Quotient excédent du bilan'!E12</f>
        <v>70.493796486972911</v>
      </c>
      <c r="F41" s="19">
        <f>'Quotient excédent du bilan'!F12</f>
        <v>1.5460904184333144</v>
      </c>
      <c r="G41" s="19">
        <f>'Quotient excédent du bilan'!G12</f>
        <v>16.662701298440201</v>
      </c>
      <c r="H41" s="19">
        <f>'Quotient excédent du bilan'!H12</f>
        <v>88.39327980479132</v>
      </c>
      <c r="I41" s="19">
        <f>'Quotient excédent du bilan'!I12</f>
        <v>57.200801070202225</v>
      </c>
      <c r="J41" s="19">
        <f>'Quotient excédent du bilan'!J12</f>
        <v>28.919555460583286</v>
      </c>
      <c r="K41" s="19">
        <f>'Quotient excédent du bilan'!K12</f>
        <v>87.778666918281246</v>
      </c>
      <c r="L41" s="19">
        <f>'Quotient excédent du bilan'!L12</f>
        <v>-13.254706580046266</v>
      </c>
      <c r="M41" s="19">
        <f>'Quotient excédent du bilan'!M12</f>
        <v>22.40278534291102</v>
      </c>
      <c r="N41" s="19">
        <f>'Quotient excédent du bilan'!N12</f>
        <v>146.73004199278824</v>
      </c>
      <c r="O41" s="19">
        <f>'Quotient excédent du bilan'!O12</f>
        <v>0.56314216874937439</v>
      </c>
      <c r="P41" s="19">
        <f>'Quotient excédent du bilan'!P12</f>
        <v>27.929375105946118</v>
      </c>
      <c r="Q41" s="19">
        <f>'Quotient excédent du bilan'!Q12</f>
        <v>6.3691845249837789</v>
      </c>
      <c r="R41" s="19">
        <f>'Quotient excédent du bilan'!R12</f>
        <v>31.717377740701629</v>
      </c>
      <c r="S41" s="19">
        <f>'Quotient excédent du bilan'!S12</f>
        <v>-3.5424636006920354</v>
      </c>
      <c r="T41" s="19">
        <f>'Quotient excédent du bilan'!T12</f>
        <v>58.150526993736982</v>
      </c>
      <c r="U41" s="19">
        <f>'Quotient excédent du bilan'!U12</f>
        <v>39.601360420626577</v>
      </c>
      <c r="V41" s="19">
        <f>'Quotient excédent du bilan'!V12</f>
        <v>13.038734319871329</v>
      </c>
      <c r="W41" s="19">
        <f>'Quotient excédent du bilan'!W12</f>
        <v>24.884050350646184</v>
      </c>
      <c r="X41" s="19">
        <f>'Quotient excédent du bilan'!X12</f>
        <v>277.42158714987175</v>
      </c>
      <c r="Y41" s="19">
        <f>'Quotient excédent du bilan'!Y12</f>
        <v>109.96125144367358</v>
      </c>
      <c r="Z41" s="19">
        <f>'Quotient excédent du bilan'!Z12</f>
        <v>166.42883267670911</v>
      </c>
      <c r="AA41" s="19">
        <f>'Quotient excédent du bilan'!AA12</f>
        <v>319.70156012428976</v>
      </c>
      <c r="AB41" s="19">
        <f>'Quotient excédent du bilan'!AB12</f>
        <v>47.357919800633255</v>
      </c>
      <c r="AC41" s="19">
        <f>'Quotient excédent du bilan'!AC12</f>
        <v>26.871582044396884</v>
      </c>
      <c r="AD41" s="19">
        <f>'Quotient excédent du bilan'!AD12</f>
        <v>71.021296912869758</v>
      </c>
      <c r="AE41" s="19">
        <f>'Quotient excédent du bilan'!AE12</f>
        <v>285.52788244953962</v>
      </c>
      <c r="AF41" s="19">
        <f>'Quotient excédent du bilan'!AF12</f>
        <v>113.21645213260297</v>
      </c>
      <c r="AG41" s="19">
        <f>'Quotient excédent du bilan'!AG12</f>
        <v>28.844404756833224</v>
      </c>
      <c r="AH41" s="19">
        <f>'Quotient excédent du bilan'!AH12</f>
        <v>183.43216178330999</v>
      </c>
      <c r="AI41" s="19">
        <f>'Quotient excédent du bilan'!AI12</f>
        <v>439.65661692712092</v>
      </c>
      <c r="AJ41" s="19">
        <f>'Quotient excédent du bilan'!AJ12</f>
        <v>23.967931179994558</v>
      </c>
      <c r="AK41" s="19">
        <f>'Quotient excédent du bilan'!AK12</f>
        <v>123.47722304623122</v>
      </c>
      <c r="AL41" s="19">
        <f>'Quotient excédent du bilan'!AL12</f>
        <v>80.830750762963703</v>
      </c>
      <c r="AM41" s="19">
        <f>'Quotient excédent du bilan'!AM12</f>
        <v>293.50828636444868</v>
      </c>
      <c r="AN41" s="19">
        <f>'Quotient excédent du bilan'!AN12</f>
        <v>145.5071173095979</v>
      </c>
      <c r="AO41" s="19">
        <f>'Quotient excédent du bilan'!AO12</f>
        <v>118.67375237029312</v>
      </c>
      <c r="AP41" s="19">
        <f>'Quotient excédent du bilan'!AP12</f>
        <v>58.316978559738445</v>
      </c>
      <c r="AQ41" s="19">
        <f>'Quotient excédent du bilan'!AQ12</f>
        <v>248.62679350224431</v>
      </c>
      <c r="AR41" s="19">
        <f>'Quotient excédent du bilan'!AR12</f>
        <v>13.742258227889511</v>
      </c>
      <c r="AS41" s="19">
        <f>'Quotient excédent du bilan'!AS12</f>
        <v>16.344975418484456</v>
      </c>
      <c r="AT41" s="19">
        <f>'Quotient excédent du bilan'!AT12</f>
        <v>253.75330775228758</v>
      </c>
      <c r="AU41" s="19">
        <f>'Quotient excédent du bilan'!AU12</f>
        <v>80.572386254042755</v>
      </c>
      <c r="AV41" s="19">
        <f>'Quotient excédent du bilan'!AV12</f>
        <v>27.847383359678624</v>
      </c>
      <c r="AW41" s="19">
        <f>'Quotient excédent du bilan'!AW12</f>
        <v>119.2883917285241</v>
      </c>
      <c r="AX41" s="19">
        <f>'Quotient excédent du bilan'!AX12</f>
        <v>10.799815660396561</v>
      </c>
      <c r="AY41" s="19">
        <f>'Quotient excédent du bilan'!AY12</f>
        <v>40.849111425457181</v>
      </c>
      <c r="AZ41" s="19">
        <f>'Quotient excédent du bilan'!AZ12</f>
        <v>161.92819953664315</v>
      </c>
      <c r="BA41" s="19">
        <f>'Quotient excédent du bilan'!BA12</f>
        <v>98.215612341771532</v>
      </c>
      <c r="BB41" s="19">
        <f>'Quotient excédent du bilan'!BB12</f>
        <v>1.5154520775990794</v>
      </c>
      <c r="BC41" s="19">
        <f>'Quotient excédent du bilan'!BC12</f>
        <v>52.651713728469275</v>
      </c>
      <c r="BD41" s="19">
        <f>SUM(E41:W41)</f>
        <v>705.58430023792732</v>
      </c>
      <c r="BE41" s="19">
        <f>SUM(X41:AI41)</f>
        <v>2069.4415482018503</v>
      </c>
      <c r="BF41" s="19">
        <f t="shared" si="0"/>
        <v>1970.4174406067559</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topLeftCell="A4" zoomScale="115" zoomScaleNormal="115" workbookViewId="0">
      <selection activeCell="A3" sqref="A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7"/>
      <c r="B1" s="227"/>
      <c r="C1" s="227"/>
      <c r="D1" s="227"/>
    </row>
    <row r="2" spans="1:8" ht="18" x14ac:dyDescent="0.25">
      <c r="A2" s="234" t="s">
        <v>879</v>
      </c>
      <c r="B2" s="234"/>
      <c r="C2" s="234"/>
      <c r="D2" s="234"/>
      <c r="E2" s="227"/>
      <c r="F2" s="227"/>
      <c r="G2" s="227"/>
      <c r="H2" s="227"/>
    </row>
    <row r="3" spans="1:8" ht="18" x14ac:dyDescent="0.25">
      <c r="A3" s="187"/>
      <c r="B3" s="187"/>
      <c r="C3" s="187"/>
      <c r="D3" s="187"/>
      <c r="E3" s="187"/>
      <c r="F3" s="187"/>
      <c r="G3" s="187"/>
      <c r="H3" s="187"/>
    </row>
    <row r="4" spans="1:8" ht="15" thickBot="1" x14ac:dyDescent="0.25">
      <c r="B4" s="235" t="s">
        <v>774</v>
      </c>
      <c r="C4" s="235"/>
      <c r="D4" s="235"/>
    </row>
    <row r="5" spans="1:8" ht="15.75" thickBot="1" x14ac:dyDescent="0.3">
      <c r="A5" s="29" t="s">
        <v>563</v>
      </c>
      <c r="B5" s="219" t="s">
        <v>23</v>
      </c>
      <c r="C5" s="220"/>
      <c r="D5" s="221"/>
      <c r="F5" s="154"/>
    </row>
    <row r="6" spans="1:8" ht="15.75" thickBot="1" x14ac:dyDescent="0.3">
      <c r="E6" s="7"/>
      <c r="H6" s="161"/>
    </row>
    <row r="7" spans="1:8" ht="15.75" thickBot="1" x14ac:dyDescent="0.3">
      <c r="A7" s="231" t="s">
        <v>556</v>
      </c>
      <c r="B7" s="232"/>
      <c r="C7" s="232"/>
      <c r="D7" s="233"/>
    </row>
    <row r="8" spans="1:8" ht="15" x14ac:dyDescent="0.25">
      <c r="H8" s="185"/>
    </row>
    <row r="9" spans="1:8" ht="15" x14ac:dyDescent="0.25">
      <c r="H9" s="185"/>
    </row>
    <row r="10" spans="1:8" ht="15" x14ac:dyDescent="0.25">
      <c r="A10" s="7" t="s">
        <v>489</v>
      </c>
      <c r="H10" s="185"/>
    </row>
    <row r="11" spans="1:8" ht="15.75" thickBot="1" x14ac:dyDescent="0.3">
      <c r="H11" s="185"/>
    </row>
    <row r="12" spans="1:8" ht="15.75" thickBot="1" x14ac:dyDescent="0.3">
      <c r="A12" s="188" t="s">
        <v>822</v>
      </c>
      <c r="D12" s="184">
        <f>HLOOKUP($B$5,Récapitulatif!E8:BC41,6,0)</f>
        <v>1628614.66</v>
      </c>
      <c r="E12" s="7"/>
      <c r="H12" s="185"/>
    </row>
    <row r="13" spans="1:8" ht="15.75" thickBot="1" x14ac:dyDescent="0.3">
      <c r="A13" s="8" t="s">
        <v>443</v>
      </c>
      <c r="D13" s="184">
        <f>D12/HLOOKUP(B5,Récapitulatif!E8:BC9,2,0)</f>
        <v>5186.6708917197448</v>
      </c>
      <c r="E13" s="7"/>
      <c r="H13" s="185"/>
    </row>
    <row r="14" spans="1:8" ht="15.75" thickBot="1" x14ac:dyDescent="0.3">
      <c r="D14" s="13"/>
      <c r="H14" s="185"/>
    </row>
    <row r="15" spans="1:8" ht="15.75" thickBot="1" x14ac:dyDescent="0.3">
      <c r="A15" s="188" t="s">
        <v>823</v>
      </c>
      <c r="D15" s="184">
        <f>HLOOKUP($B$5,Récapitulatif!E8:BC41,8,0)</f>
        <v>-1100260.1800000002</v>
      </c>
      <c r="H15" s="185"/>
    </row>
    <row r="16" spans="1:8" ht="15.75" thickBot="1" x14ac:dyDescent="0.3">
      <c r="A16" s="8" t="s">
        <v>443</v>
      </c>
      <c r="D16" s="184">
        <f>D15/HLOOKUP(B5,Récapitulatif!E8:BC9,2,0)</f>
        <v>-3504.0133121019112</v>
      </c>
      <c r="H16" s="185"/>
    </row>
    <row r="17" spans="1:8" ht="15.75" thickBot="1" x14ac:dyDescent="0.3">
      <c r="D17" s="13"/>
      <c r="H17" s="185"/>
    </row>
    <row r="18" spans="1:8" ht="15.75" thickBot="1" x14ac:dyDescent="0.3">
      <c r="A18" s="8" t="s">
        <v>498</v>
      </c>
      <c r="D18" s="184">
        <f>HLOOKUP($B$5,Récapitulatif!E8:BC41,10,0)</f>
        <v>-95.091465865137224</v>
      </c>
      <c r="H18" s="185"/>
    </row>
    <row r="19" spans="1:8" ht="15" x14ac:dyDescent="0.25">
      <c r="D19" s="13"/>
      <c r="H19" s="185"/>
    </row>
    <row r="20" spans="1:8" ht="15" x14ac:dyDescent="0.25">
      <c r="A20" s="7" t="s">
        <v>500</v>
      </c>
      <c r="D20" s="13"/>
      <c r="H20" s="185"/>
    </row>
    <row r="21" spans="1:8" ht="15.75" thickBot="1" x14ac:dyDescent="0.3">
      <c r="D21" s="13"/>
      <c r="H21" s="185"/>
    </row>
    <row r="22" spans="1:8" ht="15.75" thickBot="1" x14ac:dyDescent="0.3">
      <c r="A22" s="8" t="s">
        <v>537</v>
      </c>
      <c r="D22" s="184">
        <f>HLOOKUP($B$5,Récapitulatif!E8:BC41,15,0)</f>
        <v>672638.6100000001</v>
      </c>
      <c r="E22" s="7"/>
      <c r="H22" s="186"/>
    </row>
    <row r="23" spans="1:8" ht="15.75" thickBot="1" x14ac:dyDescent="0.3">
      <c r="D23" s="13"/>
      <c r="H23" s="185"/>
    </row>
    <row r="24" spans="1:8" ht="15.75" thickBot="1" x14ac:dyDescent="0.3">
      <c r="A24" s="8" t="s">
        <v>558</v>
      </c>
      <c r="D24" s="184">
        <f>HLOOKUP($B$5,Récapitulatif!E8:BC41,17,0)</f>
        <v>218.5167572688143</v>
      </c>
      <c r="H24" s="185"/>
    </row>
    <row r="25" spans="1:8" ht="15" thickBot="1" x14ac:dyDescent="0.25">
      <c r="D25" s="13"/>
    </row>
    <row r="26" spans="1:8" ht="15.75" thickBot="1" x14ac:dyDescent="0.3">
      <c r="A26" s="7" t="s">
        <v>559</v>
      </c>
      <c r="D26" s="184">
        <f>HLOOKUP($B$5,Récapitulatif!E8:BC41,20,0)</f>
        <v>0.74334907981031295</v>
      </c>
    </row>
    <row r="27" spans="1:8" ht="15" thickBot="1" x14ac:dyDescent="0.25">
      <c r="D27" s="13"/>
    </row>
    <row r="28" spans="1:8" ht="15.75" thickBot="1" x14ac:dyDescent="0.3">
      <c r="A28" s="7" t="s">
        <v>560</v>
      </c>
      <c r="D28" s="184">
        <f>HLOOKUP($B$5,Récapitulatif!E8:BC41,22,0)</f>
        <v>98.992292334749223</v>
      </c>
    </row>
    <row r="29" spans="1:8" ht="15" thickBot="1" x14ac:dyDescent="0.25">
      <c r="D29" s="13"/>
    </row>
    <row r="30" spans="1:8" ht="15.75" thickBot="1" x14ac:dyDescent="0.3">
      <c r="A30" s="7" t="s">
        <v>519</v>
      </c>
      <c r="D30" s="184">
        <f>HLOOKUP($B$5,Récapitulatif!E8:BC41,24,0)</f>
        <v>21.107206640158584</v>
      </c>
    </row>
    <row r="31" spans="1:8" ht="15" thickBot="1" x14ac:dyDescent="0.25">
      <c r="B31" s="154"/>
      <c r="D31" s="163"/>
    </row>
    <row r="32" spans="1:8" ht="15.75" thickBot="1" x14ac:dyDescent="0.3">
      <c r="A32" s="7" t="s">
        <v>561</v>
      </c>
      <c r="D32" s="184">
        <f>HLOOKUP($B$5,Récapitulatif!E8:BC41,26,0)</f>
        <v>5.0554105067525814</v>
      </c>
    </row>
    <row r="33" spans="1:4" ht="15" thickBot="1" x14ac:dyDescent="0.25">
      <c r="D33" s="13"/>
    </row>
    <row r="34" spans="1:4" ht="15.75" thickBot="1" x14ac:dyDescent="0.3">
      <c r="A34" s="7" t="s">
        <v>532</v>
      </c>
      <c r="D34" s="184">
        <f>HLOOKUP($B$5,Récapitulatif!E8:BC41,28,0)</f>
        <v>-3504.0133121019112</v>
      </c>
    </row>
    <row r="35" spans="1:4" ht="15.75" thickBot="1" x14ac:dyDescent="0.3">
      <c r="D35" s="185"/>
    </row>
    <row r="36" spans="1:4" ht="15.75" thickBot="1" x14ac:dyDescent="0.3">
      <c r="A36" s="7" t="s">
        <v>536</v>
      </c>
      <c r="D36" s="184">
        <f>HLOOKUP($B$5,Récapitulatif!E8:BC41,30,0)</f>
        <v>40.885078313589155</v>
      </c>
    </row>
    <row r="37" spans="1:4" ht="15.75" thickBot="1" x14ac:dyDescent="0.3">
      <c r="D37" s="185"/>
    </row>
    <row r="38" spans="1:4" ht="15.75" thickBot="1" x14ac:dyDescent="0.3">
      <c r="A38" s="7" t="s">
        <v>540</v>
      </c>
      <c r="D38" s="184">
        <f>HLOOKUP($B$5,Récapitulatif!E8:BC41,32,0)</f>
        <v>-1.6397477892054579</v>
      </c>
    </row>
    <row r="39" spans="1:4" ht="15" thickBot="1" x14ac:dyDescent="0.25">
      <c r="D39" s="13"/>
    </row>
    <row r="40" spans="1:4" ht="15.75" thickBot="1" x14ac:dyDescent="0.3">
      <c r="A40" s="7" t="s">
        <v>562</v>
      </c>
      <c r="D40" s="184">
        <f>HLOOKUP($B$5,Récapitulatif!E8:BC41,34,0)</f>
        <v>253.75330775228758</v>
      </c>
    </row>
    <row r="42" spans="1:4" x14ac:dyDescent="0.2">
      <c r="A42" s="188"/>
    </row>
    <row r="45" spans="1:4" x14ac:dyDescent="0.2">
      <c r="A45" s="189"/>
      <c r="B45" s="190"/>
      <c r="C45" s="191"/>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Récapitulatif!$E$8:$BC$8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I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2" t="s">
        <v>851</v>
      </c>
      <c r="B2" s="7"/>
      <c r="C2" s="7"/>
      <c r="D2" s="7"/>
    </row>
    <row r="3" spans="1:19" ht="20.25" x14ac:dyDescent="0.3">
      <c r="A3" s="192" t="s">
        <v>724</v>
      </c>
      <c r="E3" s="175">
        <v>1</v>
      </c>
      <c r="F3" s="175">
        <v>2</v>
      </c>
      <c r="G3" s="175">
        <v>3</v>
      </c>
      <c r="H3" s="175">
        <v>4</v>
      </c>
      <c r="I3" s="175">
        <v>5</v>
      </c>
      <c r="J3" s="175">
        <v>6</v>
      </c>
      <c r="K3" s="175">
        <v>7</v>
      </c>
      <c r="L3" s="175">
        <v>8</v>
      </c>
      <c r="M3" s="175">
        <v>9</v>
      </c>
      <c r="N3" s="175">
        <v>10</v>
      </c>
      <c r="O3" s="175">
        <v>11</v>
      </c>
      <c r="P3" s="175">
        <v>12</v>
      </c>
      <c r="Q3" s="175">
        <v>13</v>
      </c>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1">
        <v>3</v>
      </c>
      <c r="B5" s="11"/>
      <c r="C5" s="11"/>
      <c r="D5" s="11" t="s">
        <v>59</v>
      </c>
      <c r="E5" s="12">
        <f>E6+E16+E28+E32+E40+E44+E54+E57+E65</f>
        <v>1120257.3799999999</v>
      </c>
      <c r="F5" s="12">
        <f t="shared" ref="F5:R5" si="0">F6+F16+F28+F32+F40+F44+F54+F57+F65</f>
        <v>85728.56</v>
      </c>
      <c r="G5" s="12">
        <f t="shared" si="0"/>
        <v>143663.95000000001</v>
      </c>
      <c r="H5" s="12">
        <f t="shared" si="0"/>
        <v>78179.060000000012</v>
      </c>
      <c r="I5" s="12">
        <f t="shared" si="0"/>
        <v>268384.61</v>
      </c>
      <c r="J5" s="12">
        <f t="shared" si="0"/>
        <v>1887818.76</v>
      </c>
      <c r="K5" s="12">
        <f t="shared" si="0"/>
        <v>82760.989999999991</v>
      </c>
      <c r="L5" s="12">
        <f t="shared" si="0"/>
        <v>168950.53</v>
      </c>
      <c r="M5" s="12">
        <f t="shared" si="0"/>
        <v>20750.689999999999</v>
      </c>
      <c r="N5" s="12">
        <f t="shared" si="0"/>
        <v>120790.75</v>
      </c>
      <c r="O5" s="12">
        <f t="shared" si="0"/>
        <v>204605.43</v>
      </c>
      <c r="P5" s="12">
        <f t="shared" si="0"/>
        <v>217244.31</v>
      </c>
      <c r="Q5" s="12">
        <f t="shared" si="0"/>
        <v>412121.1</v>
      </c>
      <c r="R5" s="12">
        <f t="shared" si="0"/>
        <v>4811256.120000001</v>
      </c>
      <c r="S5" s="8">
        <v>2</v>
      </c>
    </row>
    <row r="6" spans="1:19" ht="15" x14ac:dyDescent="0.25">
      <c r="A6" s="75"/>
      <c r="B6" s="75">
        <v>30</v>
      </c>
      <c r="C6" s="75"/>
      <c r="D6" s="75" t="s">
        <v>60</v>
      </c>
      <c r="E6" s="76">
        <f>E7+E8+E9+E10+E11+E12+E13+E14</f>
        <v>202476.49999999997</v>
      </c>
      <c r="F6" s="76">
        <f t="shared" ref="F6:R6" si="1">F7+F8+F9+F10+F11+F12+F13+F14</f>
        <v>10857.05</v>
      </c>
      <c r="G6" s="76">
        <f t="shared" si="1"/>
        <v>14268.05</v>
      </c>
      <c r="H6" s="76">
        <f t="shared" si="1"/>
        <v>10292.200000000001</v>
      </c>
      <c r="I6" s="76">
        <f t="shared" si="1"/>
        <v>42273.599999999999</v>
      </c>
      <c r="J6" s="76">
        <f t="shared" si="1"/>
        <v>467369.60000000003</v>
      </c>
      <c r="K6" s="76">
        <f t="shared" si="1"/>
        <v>10250.6</v>
      </c>
      <c r="L6" s="76">
        <f t="shared" si="1"/>
        <v>33784.199999999997</v>
      </c>
      <c r="M6" s="76">
        <f t="shared" si="1"/>
        <v>2433</v>
      </c>
      <c r="N6" s="76">
        <f t="shared" si="1"/>
        <v>7490</v>
      </c>
      <c r="O6" s="76">
        <f t="shared" si="1"/>
        <v>32110.85</v>
      </c>
      <c r="P6" s="76">
        <f t="shared" si="1"/>
        <v>11134.949999999999</v>
      </c>
      <c r="Q6" s="76">
        <f t="shared" si="1"/>
        <v>53827.199999999997</v>
      </c>
      <c r="R6" s="76">
        <f t="shared" si="1"/>
        <v>898567.8</v>
      </c>
      <c r="S6" s="8">
        <v>3</v>
      </c>
    </row>
    <row r="7" spans="1:19" x14ac:dyDescent="0.2">
      <c r="C7" s="8">
        <v>300</v>
      </c>
      <c r="D7" s="8" t="s">
        <v>77</v>
      </c>
      <c r="E7" s="13">
        <v>37830</v>
      </c>
      <c r="F7" s="13">
        <v>6540</v>
      </c>
      <c r="G7" s="13">
        <v>5604</v>
      </c>
      <c r="H7" s="13">
        <v>3031.5</v>
      </c>
      <c r="I7" s="13">
        <v>15320</v>
      </c>
      <c r="J7" s="13">
        <v>67753</v>
      </c>
      <c r="K7" s="13">
        <v>2792</v>
      </c>
      <c r="L7" s="13">
        <v>13372.85</v>
      </c>
      <c r="M7" s="13">
        <v>660</v>
      </c>
      <c r="N7" s="13">
        <v>1675</v>
      </c>
      <c r="O7" s="13">
        <v>26016.25</v>
      </c>
      <c r="P7" s="13">
        <v>2125</v>
      </c>
      <c r="Q7" s="13">
        <v>11181.2</v>
      </c>
      <c r="R7" s="13">
        <f t="shared" ref="R7:R14" si="2">SUM(E7:Q7)</f>
        <v>193900.80000000002</v>
      </c>
      <c r="S7" s="8">
        <v>4</v>
      </c>
    </row>
    <row r="8" spans="1:19" x14ac:dyDescent="0.2">
      <c r="C8" s="8">
        <v>301</v>
      </c>
      <c r="D8" s="8" t="s">
        <v>78</v>
      </c>
      <c r="E8" s="13">
        <v>130163.05</v>
      </c>
      <c r="F8" s="13">
        <v>3700</v>
      </c>
      <c r="G8" s="13">
        <v>7681</v>
      </c>
      <c r="H8" s="13">
        <v>6200</v>
      </c>
      <c r="I8" s="13">
        <v>19813</v>
      </c>
      <c r="J8" s="13">
        <v>274429.65000000002</v>
      </c>
      <c r="K8" s="13">
        <v>5000</v>
      </c>
      <c r="L8" s="13">
        <v>16567.599999999999</v>
      </c>
      <c r="M8" s="13">
        <v>1490.7</v>
      </c>
      <c r="N8" s="13">
        <v>5815</v>
      </c>
      <c r="O8" s="13">
        <v>532.20000000000005</v>
      </c>
      <c r="P8" s="13">
        <v>7690.5</v>
      </c>
      <c r="Q8" s="13">
        <v>31683.200000000001</v>
      </c>
      <c r="R8" s="13">
        <f t="shared" si="2"/>
        <v>510765.9</v>
      </c>
      <c r="S8" s="8">
        <v>5</v>
      </c>
    </row>
    <row r="9" spans="1:19" x14ac:dyDescent="0.2">
      <c r="C9" s="8">
        <v>302</v>
      </c>
      <c r="D9" s="8" t="s">
        <v>79</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80</v>
      </c>
      <c r="E10" s="13">
        <v>0</v>
      </c>
      <c r="F10" s="13">
        <v>0</v>
      </c>
      <c r="G10" s="13">
        <v>0</v>
      </c>
      <c r="H10" s="13">
        <v>0</v>
      </c>
      <c r="I10" s="13">
        <v>0</v>
      </c>
      <c r="J10" s="13">
        <v>0</v>
      </c>
      <c r="K10" s="13">
        <v>0</v>
      </c>
      <c r="L10" s="13">
        <v>0</v>
      </c>
      <c r="M10" s="13">
        <v>0</v>
      </c>
      <c r="N10" s="13">
        <v>0</v>
      </c>
      <c r="O10" s="13">
        <v>0</v>
      </c>
      <c r="P10" s="13">
        <v>0</v>
      </c>
      <c r="Q10" s="13">
        <v>0</v>
      </c>
      <c r="R10" s="13">
        <f t="shared" si="2"/>
        <v>0</v>
      </c>
      <c r="S10" s="8">
        <v>7</v>
      </c>
    </row>
    <row r="11" spans="1:19" x14ac:dyDescent="0.2">
      <c r="C11" s="8">
        <v>304</v>
      </c>
      <c r="D11" s="8" t="s">
        <v>572</v>
      </c>
      <c r="E11" s="13">
        <v>0</v>
      </c>
      <c r="F11" s="13">
        <v>0</v>
      </c>
      <c r="G11" s="13">
        <v>0</v>
      </c>
      <c r="H11" s="13">
        <v>0</v>
      </c>
      <c r="I11" s="13">
        <v>0</v>
      </c>
      <c r="J11" s="13">
        <v>11618.2</v>
      </c>
      <c r="K11" s="13">
        <v>0</v>
      </c>
      <c r="L11" s="13">
        <v>0</v>
      </c>
      <c r="M11" s="13">
        <v>0</v>
      </c>
      <c r="N11" s="13">
        <v>0</v>
      </c>
      <c r="O11" s="13">
        <v>0</v>
      </c>
      <c r="P11" s="13">
        <v>0</v>
      </c>
      <c r="Q11" s="13">
        <v>0</v>
      </c>
      <c r="R11" s="13">
        <f t="shared" si="2"/>
        <v>11618.2</v>
      </c>
      <c r="S11" s="8">
        <v>8</v>
      </c>
    </row>
    <row r="12" spans="1:19" x14ac:dyDescent="0.2">
      <c r="C12" s="8">
        <v>305</v>
      </c>
      <c r="D12" s="8" t="s">
        <v>81</v>
      </c>
      <c r="E12" s="13">
        <v>25236.799999999999</v>
      </c>
      <c r="F12" s="13">
        <v>617.04999999999995</v>
      </c>
      <c r="G12" s="13">
        <v>683.05</v>
      </c>
      <c r="H12" s="13">
        <v>1060.7</v>
      </c>
      <c r="I12" s="13">
        <v>4390.3500000000004</v>
      </c>
      <c r="J12" s="13">
        <v>88554.8</v>
      </c>
      <c r="K12" s="13">
        <v>1072.7</v>
      </c>
      <c r="L12" s="13">
        <v>3843.75</v>
      </c>
      <c r="M12" s="13">
        <v>282.3</v>
      </c>
      <c r="N12" s="13">
        <v>0</v>
      </c>
      <c r="O12" s="13">
        <v>3666.1</v>
      </c>
      <c r="P12" s="13">
        <v>501.05</v>
      </c>
      <c r="Q12" s="13">
        <v>9066.5499999999993</v>
      </c>
      <c r="R12" s="13">
        <f t="shared" si="2"/>
        <v>138975.20000000001</v>
      </c>
      <c r="S12" s="8">
        <v>9</v>
      </c>
    </row>
    <row r="13" spans="1:19"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83</v>
      </c>
      <c r="E14" s="13">
        <v>9246.65</v>
      </c>
      <c r="F14" s="13">
        <v>0</v>
      </c>
      <c r="G14" s="13">
        <v>300</v>
      </c>
      <c r="H14" s="13">
        <v>0</v>
      </c>
      <c r="I14" s="13">
        <v>2750.25</v>
      </c>
      <c r="J14" s="13">
        <v>25013.95</v>
      </c>
      <c r="K14" s="13">
        <v>1385.9</v>
      </c>
      <c r="L14" s="13">
        <v>0</v>
      </c>
      <c r="M14" s="13">
        <v>0</v>
      </c>
      <c r="N14" s="13">
        <v>0</v>
      </c>
      <c r="O14" s="13">
        <v>1896.3</v>
      </c>
      <c r="P14" s="13">
        <v>818.4</v>
      </c>
      <c r="Q14" s="13">
        <v>1896.25</v>
      </c>
      <c r="R14" s="13">
        <f t="shared" si="2"/>
        <v>43307.700000000004</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5">
        <v>31</v>
      </c>
      <c r="C16" s="75"/>
      <c r="D16" s="75" t="s">
        <v>84</v>
      </c>
      <c r="E16" s="76">
        <f>E17+E18+E19+E20+E21+E22+E23+E24+E25+E26</f>
        <v>404230.39999999997</v>
      </c>
      <c r="F16" s="76">
        <f t="shared" ref="F16:R16" si="3">F17+F18+F19+F20+F21+F22+F23+F24+F25+F26</f>
        <v>45786.7</v>
      </c>
      <c r="G16" s="76">
        <f t="shared" si="3"/>
        <v>88116.37</v>
      </c>
      <c r="H16" s="76">
        <f t="shared" si="3"/>
        <v>61785.120000000003</v>
      </c>
      <c r="I16" s="76">
        <f t="shared" si="3"/>
        <v>104564.40000000001</v>
      </c>
      <c r="J16" s="76">
        <f t="shared" si="3"/>
        <v>779138.36</v>
      </c>
      <c r="K16" s="76">
        <f t="shared" si="3"/>
        <v>59799.089999999989</v>
      </c>
      <c r="L16" s="76">
        <f t="shared" si="3"/>
        <v>77094.709999999992</v>
      </c>
      <c r="M16" s="76">
        <f t="shared" si="3"/>
        <v>14371.24</v>
      </c>
      <c r="N16" s="76">
        <f t="shared" si="3"/>
        <v>100161</v>
      </c>
      <c r="O16" s="76">
        <f t="shared" si="3"/>
        <v>132376.79999999999</v>
      </c>
      <c r="P16" s="76">
        <f t="shared" si="3"/>
        <v>89179.17</v>
      </c>
      <c r="Q16" s="76">
        <f t="shared" si="3"/>
        <v>157316.56999999998</v>
      </c>
      <c r="R16" s="76">
        <f t="shared" si="3"/>
        <v>2113919.9300000002</v>
      </c>
      <c r="S16" s="8">
        <v>13</v>
      </c>
    </row>
    <row r="17" spans="2:19" x14ac:dyDescent="0.2">
      <c r="C17" s="8">
        <v>310</v>
      </c>
      <c r="D17" s="8" t="s">
        <v>85</v>
      </c>
      <c r="E17" s="13">
        <v>29210.55</v>
      </c>
      <c r="F17" s="13">
        <v>1735</v>
      </c>
      <c r="G17" s="13">
        <v>3593.66</v>
      </c>
      <c r="H17" s="13">
        <v>1101.79</v>
      </c>
      <c r="I17" s="13">
        <v>4305.1499999999996</v>
      </c>
      <c r="J17" s="13">
        <v>7233.8</v>
      </c>
      <c r="K17" s="13">
        <v>7663.25</v>
      </c>
      <c r="L17" s="13">
        <v>2107.5</v>
      </c>
      <c r="M17" s="13">
        <v>10.35</v>
      </c>
      <c r="N17" s="13">
        <v>5528.25</v>
      </c>
      <c r="O17" s="13">
        <v>536.35</v>
      </c>
      <c r="P17" s="13">
        <v>15234.45</v>
      </c>
      <c r="Q17" s="13">
        <v>1477.05</v>
      </c>
      <c r="R17" s="13">
        <f t="shared" ref="R17:R26" si="4">SUM(E17:Q17)</f>
        <v>79737.150000000009</v>
      </c>
      <c r="S17" s="8">
        <v>14</v>
      </c>
    </row>
    <row r="18" spans="2:19" x14ac:dyDescent="0.2">
      <c r="C18" s="8">
        <v>311</v>
      </c>
      <c r="D18" s="8" t="s">
        <v>446</v>
      </c>
      <c r="E18" s="13">
        <v>1319</v>
      </c>
      <c r="F18" s="13">
        <v>2000</v>
      </c>
      <c r="G18" s="13">
        <v>0</v>
      </c>
      <c r="H18" s="13">
        <v>0</v>
      </c>
      <c r="I18" s="13">
        <v>0</v>
      </c>
      <c r="J18" s="13">
        <v>4987.8500000000004</v>
      </c>
      <c r="K18" s="13">
        <v>65</v>
      </c>
      <c r="L18" s="13">
        <v>1333.2</v>
      </c>
      <c r="M18" s="13">
        <v>0</v>
      </c>
      <c r="N18" s="13">
        <v>538.5</v>
      </c>
      <c r="O18" s="13">
        <v>0</v>
      </c>
      <c r="P18" s="13">
        <v>0</v>
      </c>
      <c r="Q18" s="13">
        <v>0</v>
      </c>
      <c r="R18" s="13">
        <f t="shared" si="4"/>
        <v>10243.550000000001</v>
      </c>
      <c r="S18" s="8">
        <v>15</v>
      </c>
    </row>
    <row r="19" spans="2:19" x14ac:dyDescent="0.2">
      <c r="C19" s="8">
        <v>312</v>
      </c>
      <c r="D19" s="8" t="s">
        <v>87</v>
      </c>
      <c r="E19" s="13">
        <v>14235.65</v>
      </c>
      <c r="F19" s="13">
        <v>0</v>
      </c>
      <c r="G19" s="13">
        <v>0</v>
      </c>
      <c r="H19" s="13">
        <v>0</v>
      </c>
      <c r="I19" s="13">
        <v>1083.95</v>
      </c>
      <c r="J19" s="13">
        <v>191212.6</v>
      </c>
      <c r="K19" s="13">
        <v>3023.55</v>
      </c>
      <c r="L19" s="13">
        <v>0</v>
      </c>
      <c r="M19" s="13">
        <v>1326.15</v>
      </c>
      <c r="N19" s="13">
        <v>940.95</v>
      </c>
      <c r="O19" s="13">
        <v>19249.7</v>
      </c>
      <c r="P19" s="13">
        <v>0</v>
      </c>
      <c r="Q19" s="13">
        <v>9801.4500000000007</v>
      </c>
      <c r="R19" s="13">
        <f t="shared" si="4"/>
        <v>240874.00000000003</v>
      </c>
      <c r="S19" s="8">
        <v>16</v>
      </c>
    </row>
    <row r="20" spans="2:19" x14ac:dyDescent="0.2">
      <c r="C20" s="8">
        <v>313</v>
      </c>
      <c r="D20" s="8" t="s">
        <v>88</v>
      </c>
      <c r="E20" s="13">
        <v>226003.75</v>
      </c>
      <c r="F20" s="13">
        <v>37604.699999999997</v>
      </c>
      <c r="G20" s="13">
        <v>75941.38</v>
      </c>
      <c r="H20" s="13">
        <v>24965.65</v>
      </c>
      <c r="I20" s="13">
        <v>82055.350000000006</v>
      </c>
      <c r="J20" s="13">
        <v>307521.81</v>
      </c>
      <c r="K20" s="13">
        <v>45708.24</v>
      </c>
      <c r="L20" s="13">
        <v>73654.009999999995</v>
      </c>
      <c r="M20" s="13">
        <v>10573.34</v>
      </c>
      <c r="N20" s="13">
        <v>92221.1</v>
      </c>
      <c r="O20" s="13">
        <v>58906.85</v>
      </c>
      <c r="P20" s="13">
        <v>29190.69</v>
      </c>
      <c r="Q20" s="13">
        <v>74205.22</v>
      </c>
      <c r="R20" s="13">
        <f t="shared" si="4"/>
        <v>1138552.0900000001</v>
      </c>
      <c r="S20" s="8">
        <v>17</v>
      </c>
    </row>
    <row r="21" spans="2:19" x14ac:dyDescent="0.2">
      <c r="C21" s="8">
        <v>314</v>
      </c>
      <c r="D21" s="8" t="s">
        <v>814</v>
      </c>
      <c r="E21" s="13">
        <v>81979.149999999994</v>
      </c>
      <c r="F21" s="13">
        <v>4447</v>
      </c>
      <c r="G21" s="13">
        <v>3374.98</v>
      </c>
      <c r="H21" s="13">
        <v>9096.5300000000007</v>
      </c>
      <c r="I21" s="13">
        <v>11768.6</v>
      </c>
      <c r="J21" s="13">
        <v>264682.3</v>
      </c>
      <c r="K21" s="13">
        <v>2335.4499999999998</v>
      </c>
      <c r="L21" s="13">
        <v>0</v>
      </c>
      <c r="M21" s="13">
        <v>458.65</v>
      </c>
      <c r="N21" s="13">
        <v>0</v>
      </c>
      <c r="O21" s="13">
        <v>51583.9</v>
      </c>
      <c r="P21" s="13">
        <v>36024.25</v>
      </c>
      <c r="Q21" s="13">
        <v>62038.65</v>
      </c>
      <c r="R21" s="13">
        <f t="shared" si="4"/>
        <v>527789.46000000008</v>
      </c>
      <c r="S21" s="8">
        <v>18</v>
      </c>
    </row>
    <row r="22" spans="2:19" x14ac:dyDescent="0.2">
      <c r="C22" s="8">
        <v>315</v>
      </c>
      <c r="D22" s="8" t="s">
        <v>89</v>
      </c>
      <c r="E22" s="13">
        <v>27883.1</v>
      </c>
      <c r="F22" s="13">
        <v>0</v>
      </c>
      <c r="G22" s="13">
        <v>2021.95</v>
      </c>
      <c r="H22" s="13">
        <v>0</v>
      </c>
      <c r="I22" s="13">
        <v>1184.7</v>
      </c>
      <c r="J22" s="13">
        <v>0</v>
      </c>
      <c r="K22" s="13">
        <v>693.6</v>
      </c>
      <c r="L22" s="13">
        <v>0</v>
      </c>
      <c r="M22" s="13">
        <v>270.2</v>
      </c>
      <c r="N22" s="13">
        <v>0</v>
      </c>
      <c r="O22" s="13">
        <v>0</v>
      </c>
      <c r="P22" s="13">
        <v>450</v>
      </c>
      <c r="Q22" s="13">
        <v>913.3</v>
      </c>
      <c r="R22" s="13">
        <f t="shared" si="4"/>
        <v>33416.85</v>
      </c>
      <c r="S22" s="8">
        <v>19</v>
      </c>
    </row>
    <row r="23" spans="2:19" x14ac:dyDescent="0.2">
      <c r="C23" s="8">
        <v>316</v>
      </c>
      <c r="D23" s="8" t="s">
        <v>90</v>
      </c>
      <c r="E23" s="13">
        <v>8072.55</v>
      </c>
      <c r="F23" s="13">
        <v>0</v>
      </c>
      <c r="G23" s="13">
        <v>950</v>
      </c>
      <c r="H23" s="13">
        <v>0</v>
      </c>
      <c r="I23" s="13">
        <v>0</v>
      </c>
      <c r="J23" s="13">
        <v>0</v>
      </c>
      <c r="K23" s="13">
        <v>0</v>
      </c>
      <c r="L23" s="13">
        <v>0</v>
      </c>
      <c r="M23" s="13">
        <v>0</v>
      </c>
      <c r="N23" s="13">
        <v>0</v>
      </c>
      <c r="O23" s="13">
        <v>0</v>
      </c>
      <c r="P23" s="13">
        <v>0</v>
      </c>
      <c r="Q23" s="13">
        <v>0</v>
      </c>
      <c r="R23" s="13">
        <f t="shared" si="4"/>
        <v>9022.5499999999993</v>
      </c>
      <c r="S23" s="8">
        <v>20</v>
      </c>
    </row>
    <row r="24" spans="2:19" x14ac:dyDescent="0.2">
      <c r="C24" s="8">
        <v>317</v>
      </c>
      <c r="D24" s="8" t="s">
        <v>91</v>
      </c>
      <c r="E24" s="13">
        <v>15526.65</v>
      </c>
      <c r="F24" s="13">
        <v>0</v>
      </c>
      <c r="G24" s="13">
        <v>0</v>
      </c>
      <c r="H24" s="13">
        <v>0</v>
      </c>
      <c r="I24" s="13">
        <v>0</v>
      </c>
      <c r="J24" s="13">
        <v>3500</v>
      </c>
      <c r="K24" s="13">
        <v>0</v>
      </c>
      <c r="L24" s="13">
        <v>0</v>
      </c>
      <c r="M24" s="13">
        <v>1732.55</v>
      </c>
      <c r="N24" s="13">
        <v>932.2</v>
      </c>
      <c r="O24" s="13">
        <v>1200</v>
      </c>
      <c r="P24" s="13">
        <v>913.3</v>
      </c>
      <c r="Q24" s="13">
        <v>880.9</v>
      </c>
      <c r="R24" s="13">
        <f t="shared" si="4"/>
        <v>24685.600000000002</v>
      </c>
      <c r="S24" s="8">
        <v>21</v>
      </c>
    </row>
    <row r="25" spans="2:19" x14ac:dyDescent="0.2">
      <c r="C25" s="8">
        <v>318</v>
      </c>
      <c r="D25" s="8" t="s">
        <v>92</v>
      </c>
      <c r="E25" s="13">
        <v>0</v>
      </c>
      <c r="F25" s="13">
        <v>0</v>
      </c>
      <c r="G25" s="13">
        <v>0</v>
      </c>
      <c r="H25" s="13">
        <v>0</v>
      </c>
      <c r="I25" s="13">
        <v>3000</v>
      </c>
      <c r="J25" s="13">
        <v>0</v>
      </c>
      <c r="K25" s="13">
        <v>0</v>
      </c>
      <c r="L25" s="13">
        <v>0</v>
      </c>
      <c r="M25" s="13">
        <v>0</v>
      </c>
      <c r="N25" s="13">
        <v>0</v>
      </c>
      <c r="O25" s="13">
        <v>0</v>
      </c>
      <c r="P25" s="13">
        <v>0</v>
      </c>
      <c r="Q25" s="13">
        <v>8000</v>
      </c>
      <c r="R25" s="13">
        <f t="shared" si="4"/>
        <v>11000</v>
      </c>
      <c r="S25" s="8">
        <v>22</v>
      </c>
    </row>
    <row r="26" spans="2:19" x14ac:dyDescent="0.2">
      <c r="C26" s="8">
        <v>319</v>
      </c>
      <c r="D26" s="8" t="s">
        <v>93</v>
      </c>
      <c r="E26" s="13">
        <v>0</v>
      </c>
      <c r="F26" s="13">
        <v>0</v>
      </c>
      <c r="G26" s="13">
        <v>2234.4</v>
      </c>
      <c r="H26" s="13">
        <v>26621.15</v>
      </c>
      <c r="I26" s="13">
        <v>1166.6500000000001</v>
      </c>
      <c r="J26" s="13">
        <v>0</v>
      </c>
      <c r="K26" s="13">
        <v>310</v>
      </c>
      <c r="L26" s="13">
        <v>0</v>
      </c>
      <c r="M26" s="13">
        <v>0</v>
      </c>
      <c r="N26" s="13">
        <v>0</v>
      </c>
      <c r="O26" s="13">
        <v>900</v>
      </c>
      <c r="P26" s="13">
        <v>7366.48</v>
      </c>
      <c r="Q26" s="13">
        <v>0</v>
      </c>
      <c r="R26" s="13">
        <f t="shared" si="4"/>
        <v>38598.680000000008</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5">
        <v>33</v>
      </c>
      <c r="C28" s="75"/>
      <c r="D28" s="75" t="s">
        <v>94</v>
      </c>
      <c r="E28" s="76">
        <f>E29+E30</f>
        <v>83500</v>
      </c>
      <c r="F28" s="76">
        <f t="shared" ref="F28:R28" si="5">F29+F30</f>
        <v>11268</v>
      </c>
      <c r="G28" s="76">
        <f t="shared" si="5"/>
        <v>2709.45</v>
      </c>
      <c r="H28" s="76">
        <f t="shared" si="5"/>
        <v>0</v>
      </c>
      <c r="I28" s="76">
        <f t="shared" si="5"/>
        <v>24260</v>
      </c>
      <c r="J28" s="76">
        <f t="shared" si="5"/>
        <v>170740.2</v>
      </c>
      <c r="K28" s="76">
        <f t="shared" si="5"/>
        <v>0</v>
      </c>
      <c r="L28" s="76">
        <f t="shared" si="5"/>
        <v>0</v>
      </c>
      <c r="M28" s="76">
        <f t="shared" si="5"/>
        <v>1300</v>
      </c>
      <c r="N28" s="76">
        <f t="shared" si="5"/>
        <v>0</v>
      </c>
      <c r="O28" s="76">
        <f t="shared" si="5"/>
        <v>24500</v>
      </c>
      <c r="P28" s="76">
        <f t="shared" si="5"/>
        <v>32586.85</v>
      </c>
      <c r="Q28" s="76">
        <f t="shared" si="5"/>
        <v>30654</v>
      </c>
      <c r="R28" s="76">
        <f t="shared" si="5"/>
        <v>381518.5</v>
      </c>
      <c r="S28" s="8">
        <v>25</v>
      </c>
    </row>
    <row r="29" spans="2:19" x14ac:dyDescent="0.2">
      <c r="C29" s="8">
        <v>330</v>
      </c>
      <c r="D29" s="8" t="s">
        <v>96</v>
      </c>
      <c r="E29" s="13">
        <v>83500</v>
      </c>
      <c r="F29" s="13">
        <v>11268</v>
      </c>
      <c r="G29" s="13">
        <v>2709.45</v>
      </c>
      <c r="H29" s="13">
        <v>0</v>
      </c>
      <c r="I29" s="13">
        <v>24260</v>
      </c>
      <c r="J29" s="13">
        <v>170740.2</v>
      </c>
      <c r="K29" s="13">
        <v>0</v>
      </c>
      <c r="L29" s="13">
        <v>0</v>
      </c>
      <c r="M29" s="13">
        <v>1300</v>
      </c>
      <c r="N29" s="13">
        <v>0</v>
      </c>
      <c r="O29" s="13">
        <v>24500</v>
      </c>
      <c r="P29" s="13">
        <v>32586.85</v>
      </c>
      <c r="Q29" s="13">
        <v>30654</v>
      </c>
      <c r="R29" s="13">
        <f>SUM(E29:Q29)</f>
        <v>381518.5</v>
      </c>
      <c r="S29" s="8">
        <v>26</v>
      </c>
    </row>
    <row r="30" spans="2:19" x14ac:dyDescent="0.2">
      <c r="C30" s="8">
        <v>332</v>
      </c>
      <c r="D30" s="8" t="s">
        <v>95</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5">
        <v>34</v>
      </c>
      <c r="C32" s="75"/>
      <c r="D32" s="75" t="s">
        <v>97</v>
      </c>
      <c r="E32" s="76">
        <f>E33+E34+E35+E36+E37+E38</f>
        <v>161225.23000000001</v>
      </c>
      <c r="F32" s="76">
        <f t="shared" ref="F32:R32" si="6">F33+F34+F35+F36+F37+F38</f>
        <v>6208.6</v>
      </c>
      <c r="G32" s="76">
        <f t="shared" si="6"/>
        <v>18286.32</v>
      </c>
      <c r="H32" s="76">
        <f t="shared" si="6"/>
        <v>0</v>
      </c>
      <c r="I32" s="76">
        <f t="shared" si="6"/>
        <v>32757.7</v>
      </c>
      <c r="J32" s="76">
        <f t="shared" si="6"/>
        <v>138055.85</v>
      </c>
      <c r="K32" s="76">
        <f t="shared" si="6"/>
        <v>3530</v>
      </c>
      <c r="L32" s="76">
        <f t="shared" si="6"/>
        <v>2391.5500000000002</v>
      </c>
      <c r="M32" s="76">
        <f t="shared" si="6"/>
        <v>0</v>
      </c>
      <c r="N32" s="76">
        <f t="shared" si="6"/>
        <v>0</v>
      </c>
      <c r="O32" s="76">
        <f t="shared" si="6"/>
        <v>2928.25</v>
      </c>
      <c r="P32" s="76">
        <f t="shared" si="6"/>
        <v>15870.2</v>
      </c>
      <c r="Q32" s="76">
        <f t="shared" si="6"/>
        <v>10767.85</v>
      </c>
      <c r="R32" s="76">
        <f t="shared" si="6"/>
        <v>392021.54999999993</v>
      </c>
      <c r="S32" s="8">
        <v>29</v>
      </c>
    </row>
    <row r="33" spans="2:19" x14ac:dyDescent="0.2">
      <c r="C33" s="8">
        <v>340</v>
      </c>
      <c r="D33" s="8" t="s">
        <v>98</v>
      </c>
      <c r="E33" s="13">
        <v>27604.65</v>
      </c>
      <c r="F33" s="13">
        <v>3004.2</v>
      </c>
      <c r="G33" s="13">
        <v>2470</v>
      </c>
      <c r="H33" s="13">
        <v>0</v>
      </c>
      <c r="I33" s="13">
        <v>5069.45</v>
      </c>
      <c r="J33" s="13">
        <v>52990.34</v>
      </c>
      <c r="K33" s="13">
        <v>3362.5</v>
      </c>
      <c r="L33" s="13">
        <v>0</v>
      </c>
      <c r="M33" s="13">
        <v>0</v>
      </c>
      <c r="N33" s="13">
        <v>0</v>
      </c>
      <c r="O33" s="13">
        <v>0</v>
      </c>
      <c r="P33" s="13">
        <v>11743.65</v>
      </c>
      <c r="Q33" s="13">
        <v>4449.2</v>
      </c>
      <c r="R33" s="13">
        <f t="shared" ref="R33:R38" si="7">SUM(E33:Q33)</f>
        <v>110693.98999999999</v>
      </c>
      <c r="S33" s="8">
        <v>30</v>
      </c>
    </row>
    <row r="34" spans="2:1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f t="shared" si="7"/>
        <v>0</v>
      </c>
      <c r="S34" s="8">
        <v>31</v>
      </c>
    </row>
    <row r="35" spans="2:1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101</v>
      </c>
      <c r="E36" s="13">
        <v>120887.15</v>
      </c>
      <c r="F36" s="13">
        <v>3204.4</v>
      </c>
      <c r="G36" s="13">
        <v>13880.02</v>
      </c>
      <c r="H36" s="13">
        <v>0</v>
      </c>
      <c r="I36" s="13">
        <v>27688.25</v>
      </c>
      <c r="J36" s="13">
        <v>81732.800000000003</v>
      </c>
      <c r="K36" s="13">
        <v>0</v>
      </c>
      <c r="L36" s="13">
        <v>0</v>
      </c>
      <c r="M36" s="13">
        <v>0</v>
      </c>
      <c r="N36" s="13">
        <v>0</v>
      </c>
      <c r="O36" s="13">
        <v>1518.35</v>
      </c>
      <c r="P36" s="13">
        <v>4126.55</v>
      </c>
      <c r="Q36" s="13">
        <v>4404.2</v>
      </c>
      <c r="R36" s="13">
        <f t="shared" si="7"/>
        <v>257441.72</v>
      </c>
      <c r="S36" s="8">
        <v>33</v>
      </c>
    </row>
    <row r="37" spans="2:19" x14ac:dyDescent="0.2">
      <c r="C37" s="8">
        <v>344</v>
      </c>
      <c r="D37" s="8" t="s">
        <v>102</v>
      </c>
      <c r="E37" s="13">
        <v>8956.48</v>
      </c>
      <c r="F37" s="13">
        <v>0</v>
      </c>
      <c r="G37" s="13">
        <v>0</v>
      </c>
      <c r="H37" s="13">
        <v>0</v>
      </c>
      <c r="I37" s="13">
        <v>0</v>
      </c>
      <c r="J37" s="13">
        <v>50</v>
      </c>
      <c r="K37" s="13">
        <v>0</v>
      </c>
      <c r="L37" s="13">
        <v>0</v>
      </c>
      <c r="M37" s="13">
        <v>0</v>
      </c>
      <c r="N37" s="13">
        <v>0</v>
      </c>
      <c r="O37" s="13">
        <v>0</v>
      </c>
      <c r="P37" s="13">
        <v>0</v>
      </c>
      <c r="Q37" s="13">
        <v>0</v>
      </c>
      <c r="R37" s="13">
        <f t="shared" si="7"/>
        <v>9006.48</v>
      </c>
      <c r="S37" s="8">
        <v>34</v>
      </c>
    </row>
    <row r="38" spans="2:19" x14ac:dyDescent="0.2">
      <c r="C38" s="8">
        <v>349</v>
      </c>
      <c r="D38" s="8" t="s">
        <v>103</v>
      </c>
      <c r="E38" s="13">
        <v>3776.95</v>
      </c>
      <c r="F38" s="13">
        <v>0</v>
      </c>
      <c r="G38" s="13">
        <v>1936.3</v>
      </c>
      <c r="H38" s="13">
        <v>0</v>
      </c>
      <c r="I38" s="13">
        <v>0</v>
      </c>
      <c r="J38" s="13">
        <v>3282.71</v>
      </c>
      <c r="K38" s="13">
        <v>167.5</v>
      </c>
      <c r="L38" s="13">
        <v>2391.5500000000002</v>
      </c>
      <c r="M38" s="13">
        <v>0</v>
      </c>
      <c r="N38" s="13">
        <v>0</v>
      </c>
      <c r="O38" s="13">
        <v>1409.9</v>
      </c>
      <c r="P38" s="13">
        <v>0</v>
      </c>
      <c r="Q38" s="13">
        <v>1914.45</v>
      </c>
      <c r="R38" s="13">
        <f t="shared" si="7"/>
        <v>14879.359999999999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5">
        <v>35</v>
      </c>
      <c r="C40" s="75"/>
      <c r="D40" s="75" t="s">
        <v>105</v>
      </c>
      <c r="E40" s="76">
        <f>E41+E42</f>
        <v>0</v>
      </c>
      <c r="F40" s="76">
        <f t="shared" ref="F40:R40" si="8">F41+F42</f>
        <v>1081.81</v>
      </c>
      <c r="G40" s="76">
        <f t="shared" si="8"/>
        <v>2289.71</v>
      </c>
      <c r="H40" s="76">
        <f t="shared" si="8"/>
        <v>1182.19</v>
      </c>
      <c r="I40" s="76">
        <f t="shared" si="8"/>
        <v>32201.91</v>
      </c>
      <c r="J40" s="76">
        <f t="shared" si="8"/>
        <v>280371</v>
      </c>
      <c r="K40" s="76">
        <f t="shared" si="8"/>
        <v>237.85</v>
      </c>
      <c r="L40" s="76">
        <f t="shared" si="8"/>
        <v>4877.45</v>
      </c>
      <c r="M40" s="76">
        <f t="shared" si="8"/>
        <v>0</v>
      </c>
      <c r="N40" s="76">
        <f t="shared" si="8"/>
        <v>0</v>
      </c>
      <c r="O40" s="76">
        <f t="shared" si="8"/>
        <v>2614.63</v>
      </c>
      <c r="P40" s="76">
        <f t="shared" si="8"/>
        <v>0</v>
      </c>
      <c r="Q40" s="76">
        <f t="shared" si="8"/>
        <v>2022.25</v>
      </c>
      <c r="R40" s="76">
        <f t="shared" si="8"/>
        <v>326878.8</v>
      </c>
      <c r="S40" s="8">
        <v>37</v>
      </c>
    </row>
    <row r="41" spans="2:19" x14ac:dyDescent="0.2">
      <c r="C41" s="8">
        <v>350</v>
      </c>
      <c r="D41" s="8" t="s">
        <v>105</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104</v>
      </c>
      <c r="E42" s="13">
        <v>0</v>
      </c>
      <c r="F42" s="13">
        <v>1081.81</v>
      </c>
      <c r="G42" s="13">
        <v>2289.71</v>
      </c>
      <c r="H42" s="13">
        <v>1182.19</v>
      </c>
      <c r="I42" s="13">
        <v>32201.91</v>
      </c>
      <c r="J42" s="13">
        <v>280371</v>
      </c>
      <c r="K42" s="13">
        <v>237.85</v>
      </c>
      <c r="L42" s="13">
        <v>4877.45</v>
      </c>
      <c r="M42" s="13">
        <v>0</v>
      </c>
      <c r="N42" s="13">
        <v>0</v>
      </c>
      <c r="O42" s="13">
        <v>2614.63</v>
      </c>
      <c r="P42" s="13">
        <v>0</v>
      </c>
      <c r="Q42" s="13">
        <v>2022.25</v>
      </c>
      <c r="R42" s="13">
        <f t="shared" si="9"/>
        <v>326878.8</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5">
        <v>36</v>
      </c>
      <c r="C44" s="75"/>
      <c r="D44" s="75" t="s">
        <v>106</v>
      </c>
      <c r="E44" s="76">
        <f>E45+E46+E47+E48+E49+E50+E51+E52</f>
        <v>49273.45</v>
      </c>
      <c r="F44" s="76">
        <f t="shared" ref="F44:R44" si="10">F45+F46+F47+F48+F49+F50+F51+F52</f>
        <v>10526.4</v>
      </c>
      <c r="G44" s="76">
        <f t="shared" si="10"/>
        <v>14994.05</v>
      </c>
      <c r="H44" s="76">
        <f t="shared" si="10"/>
        <v>4919.55</v>
      </c>
      <c r="I44" s="76">
        <f t="shared" si="10"/>
        <v>32327</v>
      </c>
      <c r="J44" s="76">
        <f t="shared" si="10"/>
        <v>52143.75</v>
      </c>
      <c r="K44" s="76">
        <f t="shared" si="10"/>
        <v>8943.4500000000007</v>
      </c>
      <c r="L44" s="76">
        <f t="shared" si="10"/>
        <v>49231.02</v>
      </c>
      <c r="M44" s="76">
        <f t="shared" si="10"/>
        <v>2646.45</v>
      </c>
      <c r="N44" s="76">
        <f t="shared" si="10"/>
        <v>13139.75</v>
      </c>
      <c r="O44" s="76">
        <f t="shared" si="10"/>
        <v>10074.9</v>
      </c>
      <c r="P44" s="76">
        <f t="shared" si="10"/>
        <v>35761.449999999997</v>
      </c>
      <c r="Q44" s="76">
        <f t="shared" si="10"/>
        <v>7358.4800000000005</v>
      </c>
      <c r="R44" s="76">
        <f t="shared" si="10"/>
        <v>291339.7</v>
      </c>
      <c r="S44" s="8">
        <v>41</v>
      </c>
    </row>
    <row r="45" spans="2:19" x14ac:dyDescent="0.2">
      <c r="C45" s="8">
        <v>360</v>
      </c>
      <c r="D45" s="8" t="s">
        <v>107</v>
      </c>
      <c r="E45" s="13">
        <v>3024.7</v>
      </c>
      <c r="F45" s="13">
        <v>0</v>
      </c>
      <c r="G45" s="13">
        <v>0</v>
      </c>
      <c r="H45" s="13">
        <v>0</v>
      </c>
      <c r="I45" s="13">
        <v>0</v>
      </c>
      <c r="J45" s="13">
        <v>2000</v>
      </c>
      <c r="K45" s="13">
        <v>0</v>
      </c>
      <c r="L45" s="13">
        <v>0</v>
      </c>
      <c r="M45" s="13">
        <v>0</v>
      </c>
      <c r="N45" s="13">
        <v>0</v>
      </c>
      <c r="O45" s="13">
        <v>0</v>
      </c>
      <c r="P45" s="13">
        <v>0</v>
      </c>
      <c r="Q45" s="13">
        <v>0</v>
      </c>
      <c r="R45" s="13">
        <f t="shared" ref="R45:R52" si="11">SUM(E45:Q45)</f>
        <v>5024.7</v>
      </c>
      <c r="S45" s="8">
        <v>42</v>
      </c>
    </row>
    <row r="46" spans="2:19" x14ac:dyDescent="0.2">
      <c r="C46" s="8">
        <v>361</v>
      </c>
      <c r="D46" s="8" t="s">
        <v>108</v>
      </c>
      <c r="E46" s="13">
        <v>1937.4</v>
      </c>
      <c r="F46" s="13">
        <v>0</v>
      </c>
      <c r="G46" s="13">
        <v>0</v>
      </c>
      <c r="H46" s="13">
        <v>0</v>
      </c>
      <c r="I46" s="13">
        <v>5800</v>
      </c>
      <c r="J46" s="13">
        <v>0</v>
      </c>
      <c r="K46" s="13">
        <v>0</v>
      </c>
      <c r="L46" s="13">
        <v>0</v>
      </c>
      <c r="M46" s="13">
        <v>232</v>
      </c>
      <c r="N46" s="13">
        <v>13139.75</v>
      </c>
      <c r="O46" s="13">
        <v>0</v>
      </c>
      <c r="P46" s="13">
        <v>1199.7</v>
      </c>
      <c r="Q46" s="13">
        <v>5600.18</v>
      </c>
      <c r="R46" s="13">
        <f t="shared" si="11"/>
        <v>27909.030000000002</v>
      </c>
      <c r="S46" s="8">
        <v>43</v>
      </c>
    </row>
    <row r="47" spans="2:19"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110</v>
      </c>
      <c r="E48" s="13">
        <v>44311.35</v>
      </c>
      <c r="F48" s="13">
        <v>10526.4</v>
      </c>
      <c r="G48" s="13">
        <v>14994.05</v>
      </c>
      <c r="H48" s="13">
        <v>4919.55</v>
      </c>
      <c r="I48" s="13">
        <v>26527</v>
      </c>
      <c r="J48" s="13">
        <v>50143.75</v>
      </c>
      <c r="K48" s="13">
        <v>8943.4500000000007</v>
      </c>
      <c r="L48" s="13">
        <v>49231.02</v>
      </c>
      <c r="M48" s="13">
        <v>2414.4499999999998</v>
      </c>
      <c r="N48" s="13">
        <v>0</v>
      </c>
      <c r="O48" s="13">
        <v>10074.9</v>
      </c>
      <c r="P48" s="13">
        <v>34561.75</v>
      </c>
      <c r="Q48" s="13">
        <v>1758.3</v>
      </c>
      <c r="R48" s="13">
        <f t="shared" si="11"/>
        <v>258405.97</v>
      </c>
      <c r="S48" s="8">
        <v>45</v>
      </c>
    </row>
    <row r="49" spans="2:1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5">
        <v>37</v>
      </c>
      <c r="C54" s="75"/>
      <c r="D54" s="75" t="s">
        <v>115</v>
      </c>
      <c r="E54" s="76">
        <f>E55</f>
        <v>72272</v>
      </c>
      <c r="F54" s="76">
        <f t="shared" ref="F54:R54" si="12">F55</f>
        <v>0</v>
      </c>
      <c r="G54" s="76">
        <f t="shared" si="12"/>
        <v>0</v>
      </c>
      <c r="H54" s="76">
        <f t="shared" si="12"/>
        <v>0</v>
      </c>
      <c r="I54" s="76">
        <f t="shared" si="12"/>
        <v>0</v>
      </c>
      <c r="J54" s="76">
        <f t="shared" si="12"/>
        <v>0</v>
      </c>
      <c r="K54" s="76">
        <f t="shared" si="12"/>
        <v>0</v>
      </c>
      <c r="L54" s="76">
        <f t="shared" si="12"/>
        <v>0</v>
      </c>
      <c r="M54" s="76">
        <f t="shared" si="12"/>
        <v>0</v>
      </c>
      <c r="N54" s="76">
        <f t="shared" si="12"/>
        <v>0</v>
      </c>
      <c r="O54" s="76">
        <f t="shared" si="12"/>
        <v>0</v>
      </c>
      <c r="P54" s="76">
        <f t="shared" si="12"/>
        <v>0</v>
      </c>
      <c r="Q54" s="76">
        <f t="shared" si="12"/>
        <v>150174.75</v>
      </c>
      <c r="R54" s="76">
        <f t="shared" si="12"/>
        <v>222446.75</v>
      </c>
      <c r="S54" s="8">
        <v>51</v>
      </c>
    </row>
    <row r="55" spans="2:19" x14ac:dyDescent="0.2">
      <c r="C55" s="8">
        <v>370</v>
      </c>
      <c r="D55" s="8" t="s">
        <v>116</v>
      </c>
      <c r="E55" s="13">
        <v>72272</v>
      </c>
      <c r="F55" s="13">
        <v>0</v>
      </c>
      <c r="G55" s="13">
        <v>0</v>
      </c>
      <c r="H55" s="13">
        <v>0</v>
      </c>
      <c r="I55" s="13">
        <v>0</v>
      </c>
      <c r="J55" s="13">
        <v>0</v>
      </c>
      <c r="K55" s="13">
        <v>0</v>
      </c>
      <c r="L55" s="13">
        <v>0</v>
      </c>
      <c r="M55" s="13">
        <v>0</v>
      </c>
      <c r="N55" s="13">
        <v>0</v>
      </c>
      <c r="O55" s="13">
        <v>0</v>
      </c>
      <c r="P55" s="13">
        <v>0</v>
      </c>
      <c r="Q55" s="13">
        <v>150174.75</v>
      </c>
      <c r="R55" s="13">
        <f>SUM(E55:Q55)</f>
        <v>222446.75</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5">
        <v>38</v>
      </c>
      <c r="C57" s="75"/>
      <c r="D57" s="75" t="s">
        <v>117</v>
      </c>
      <c r="E57" s="76">
        <f>E58+E59+E60+E61+E62+E63</f>
        <v>0</v>
      </c>
      <c r="F57" s="76">
        <f t="shared" ref="F57:R57" si="13">F58+F59+F60+F61+F62+F63</f>
        <v>0</v>
      </c>
      <c r="G57" s="76">
        <f t="shared" si="13"/>
        <v>0</v>
      </c>
      <c r="H57" s="76">
        <f t="shared" si="13"/>
        <v>0</v>
      </c>
      <c r="I57" s="76">
        <f t="shared" si="13"/>
        <v>0</v>
      </c>
      <c r="J57" s="76">
        <f t="shared" si="13"/>
        <v>0</v>
      </c>
      <c r="K57" s="76">
        <f t="shared" si="13"/>
        <v>0</v>
      </c>
      <c r="L57" s="76">
        <f t="shared" si="13"/>
        <v>0</v>
      </c>
      <c r="M57" s="76">
        <f t="shared" si="13"/>
        <v>0</v>
      </c>
      <c r="N57" s="76">
        <f t="shared" si="13"/>
        <v>0</v>
      </c>
      <c r="O57" s="76">
        <f t="shared" si="13"/>
        <v>0</v>
      </c>
      <c r="P57" s="76">
        <f t="shared" si="13"/>
        <v>1406.69</v>
      </c>
      <c r="Q57" s="76">
        <f t="shared" si="13"/>
        <v>0</v>
      </c>
      <c r="R57" s="76">
        <f t="shared" si="13"/>
        <v>1406.69</v>
      </c>
      <c r="S57" s="8">
        <v>54</v>
      </c>
    </row>
    <row r="58" spans="2:1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286</v>
      </c>
      <c r="E63" s="13">
        <v>0</v>
      </c>
      <c r="F63" s="13">
        <v>0</v>
      </c>
      <c r="G63" s="13">
        <v>0</v>
      </c>
      <c r="H63" s="13">
        <v>0</v>
      </c>
      <c r="I63" s="13">
        <v>0</v>
      </c>
      <c r="J63" s="13">
        <v>0</v>
      </c>
      <c r="K63" s="13">
        <v>0</v>
      </c>
      <c r="L63" s="13">
        <v>0</v>
      </c>
      <c r="M63" s="13">
        <v>0</v>
      </c>
      <c r="N63" s="13">
        <v>0</v>
      </c>
      <c r="O63" s="13">
        <v>0</v>
      </c>
      <c r="P63" s="13">
        <v>1406.69</v>
      </c>
      <c r="Q63" s="13">
        <v>0</v>
      </c>
      <c r="R63" s="13">
        <f t="shared" si="14"/>
        <v>1406.69</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5">
        <v>39</v>
      </c>
      <c r="C65" s="75"/>
      <c r="D65" s="75" t="s">
        <v>124</v>
      </c>
      <c r="E65" s="76">
        <f>E66+E67+E68+E69+E70+E71+E72+E73</f>
        <v>147279.79999999999</v>
      </c>
      <c r="F65" s="76">
        <f t="shared" ref="F65:R65" si="15">F66+F67+F68+F69+F70+F71+F72+F73</f>
        <v>0</v>
      </c>
      <c r="G65" s="76">
        <f t="shared" si="15"/>
        <v>3000</v>
      </c>
      <c r="H65" s="76">
        <f t="shared" si="15"/>
        <v>0</v>
      </c>
      <c r="I65" s="76">
        <f t="shared" si="15"/>
        <v>0</v>
      </c>
      <c r="J65" s="76">
        <f t="shared" si="15"/>
        <v>0</v>
      </c>
      <c r="K65" s="76">
        <f t="shared" si="15"/>
        <v>0</v>
      </c>
      <c r="L65" s="76">
        <f t="shared" si="15"/>
        <v>1571.6</v>
      </c>
      <c r="M65" s="76">
        <f t="shared" si="15"/>
        <v>0</v>
      </c>
      <c r="N65" s="76">
        <f t="shared" si="15"/>
        <v>0</v>
      </c>
      <c r="O65" s="76">
        <f t="shared" si="15"/>
        <v>0</v>
      </c>
      <c r="P65" s="76">
        <f t="shared" si="15"/>
        <v>31305</v>
      </c>
      <c r="Q65" s="76">
        <f t="shared" si="15"/>
        <v>0</v>
      </c>
      <c r="R65" s="76">
        <f t="shared" si="15"/>
        <v>183156.4</v>
      </c>
      <c r="S65" s="8">
        <v>62</v>
      </c>
    </row>
    <row r="66" spans="1:19" x14ac:dyDescent="0.2">
      <c r="C66" s="8">
        <v>390</v>
      </c>
      <c r="D66" s="8" t="s">
        <v>125</v>
      </c>
      <c r="E66" s="13">
        <v>19240.8</v>
      </c>
      <c r="F66" s="13">
        <v>0</v>
      </c>
      <c r="G66" s="13">
        <v>0</v>
      </c>
      <c r="H66" s="13">
        <v>0</v>
      </c>
      <c r="I66" s="13">
        <v>0</v>
      </c>
      <c r="J66" s="13">
        <v>0</v>
      </c>
      <c r="K66" s="13">
        <v>0</v>
      </c>
      <c r="L66" s="13">
        <v>0</v>
      </c>
      <c r="M66" s="13">
        <v>0</v>
      </c>
      <c r="N66" s="13">
        <v>0</v>
      </c>
      <c r="O66" s="13">
        <v>0</v>
      </c>
      <c r="P66" s="13">
        <v>0</v>
      </c>
      <c r="Q66" s="13">
        <v>0</v>
      </c>
      <c r="R66" s="13">
        <f t="shared" ref="R66:R73" si="16">SUM(E66:Q66)</f>
        <v>19240.8</v>
      </c>
      <c r="S66" s="8">
        <v>63</v>
      </c>
    </row>
    <row r="67" spans="1:19" x14ac:dyDescent="0.2">
      <c r="C67" s="8">
        <v>391</v>
      </c>
      <c r="D67" s="8" t="s">
        <v>126</v>
      </c>
      <c r="E67" s="13">
        <v>121201</v>
      </c>
      <c r="F67" s="13">
        <v>0</v>
      </c>
      <c r="G67" s="13">
        <v>3000</v>
      </c>
      <c r="H67" s="13">
        <v>0</v>
      </c>
      <c r="I67" s="13">
        <v>0</v>
      </c>
      <c r="J67" s="13">
        <v>0</v>
      </c>
      <c r="K67" s="13">
        <v>0</v>
      </c>
      <c r="L67" s="13">
        <v>1571.6</v>
      </c>
      <c r="M67" s="13">
        <v>0</v>
      </c>
      <c r="N67" s="13">
        <v>0</v>
      </c>
      <c r="O67" s="13">
        <v>0</v>
      </c>
      <c r="P67" s="13">
        <v>31305</v>
      </c>
      <c r="Q67" s="13">
        <v>0</v>
      </c>
      <c r="R67" s="13">
        <f t="shared" si="16"/>
        <v>157077.6</v>
      </c>
      <c r="S67" s="8">
        <v>64</v>
      </c>
    </row>
    <row r="68" spans="1:19"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128</v>
      </c>
      <c r="E69" s="13">
        <v>6838</v>
      </c>
      <c r="F69" s="13">
        <v>0</v>
      </c>
      <c r="G69" s="13">
        <v>0</v>
      </c>
      <c r="H69" s="13">
        <v>0</v>
      </c>
      <c r="I69" s="13">
        <v>0</v>
      </c>
      <c r="J69" s="13">
        <v>0</v>
      </c>
      <c r="K69" s="13">
        <v>0</v>
      </c>
      <c r="L69" s="13">
        <v>0</v>
      </c>
      <c r="M69" s="13">
        <v>0</v>
      </c>
      <c r="N69" s="13">
        <v>0</v>
      </c>
      <c r="O69" s="13">
        <v>0</v>
      </c>
      <c r="P69" s="13">
        <v>0</v>
      </c>
      <c r="Q69" s="13">
        <v>0</v>
      </c>
      <c r="R69" s="13">
        <f t="shared" si="16"/>
        <v>6838</v>
      </c>
      <c r="S69" s="8">
        <v>66</v>
      </c>
    </row>
    <row r="70" spans="1:19"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c r="R74" s="13"/>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133</v>
      </c>
      <c r="E76" s="15">
        <f>E77+E83+E89+E100+E106+E118+E122+E129+E132+E141</f>
        <v>1174515.8400000001</v>
      </c>
      <c r="F76" s="15">
        <f t="shared" ref="F76:R76" si="17">F77+F83+F89+F100+F106+F118+F122+F129+F132+F141</f>
        <v>91736.290000000008</v>
      </c>
      <c r="G76" s="15">
        <f t="shared" si="17"/>
        <v>175220.62000000002</v>
      </c>
      <c r="H76" s="15">
        <f t="shared" si="17"/>
        <v>72695.540000000008</v>
      </c>
      <c r="I76" s="15">
        <f t="shared" si="17"/>
        <v>221055.72999999998</v>
      </c>
      <c r="J76" s="15">
        <f t="shared" si="17"/>
        <v>1889394.0799999998</v>
      </c>
      <c r="K76" s="15">
        <f t="shared" si="17"/>
        <v>111668.1</v>
      </c>
      <c r="L76" s="15">
        <f t="shared" si="17"/>
        <v>174861.13000000003</v>
      </c>
      <c r="M76" s="15">
        <f t="shared" si="17"/>
        <v>25161.759999999998</v>
      </c>
      <c r="N76" s="15">
        <f t="shared" si="17"/>
        <v>99121.670000000013</v>
      </c>
      <c r="O76" s="15">
        <f t="shared" si="17"/>
        <v>186734.38</v>
      </c>
      <c r="P76" s="15">
        <f t="shared" si="17"/>
        <v>189370.81</v>
      </c>
      <c r="Q76" s="15">
        <f t="shared" si="17"/>
        <v>424603.31</v>
      </c>
      <c r="R76" s="15">
        <f t="shared" si="17"/>
        <v>4836139.26</v>
      </c>
      <c r="S76" s="8">
        <v>73</v>
      </c>
    </row>
    <row r="77" spans="1:19" ht="15" x14ac:dyDescent="0.25">
      <c r="A77" s="7"/>
      <c r="B77" s="77">
        <v>40</v>
      </c>
      <c r="C77" s="77"/>
      <c r="D77" s="77" t="s">
        <v>76</v>
      </c>
      <c r="E77" s="78">
        <f>E78+E79+E80+E81</f>
        <v>5075</v>
      </c>
      <c r="F77" s="78">
        <f t="shared" ref="F77:R77" si="18">F78+F79+F80+F81</f>
        <v>0</v>
      </c>
      <c r="G77" s="78">
        <f t="shared" si="18"/>
        <v>0</v>
      </c>
      <c r="H77" s="78">
        <f t="shared" si="18"/>
        <v>0</v>
      </c>
      <c r="I77" s="78">
        <f t="shared" si="18"/>
        <v>0</v>
      </c>
      <c r="J77" s="78">
        <f t="shared" si="18"/>
        <v>0</v>
      </c>
      <c r="K77" s="78">
        <f t="shared" si="18"/>
        <v>0</v>
      </c>
      <c r="L77" s="78">
        <f t="shared" si="18"/>
        <v>0</v>
      </c>
      <c r="M77" s="78">
        <f t="shared" si="18"/>
        <v>0</v>
      </c>
      <c r="N77" s="78">
        <f t="shared" si="18"/>
        <v>0</v>
      </c>
      <c r="O77" s="78">
        <f t="shared" si="18"/>
        <v>0</v>
      </c>
      <c r="P77" s="78">
        <f t="shared" si="18"/>
        <v>0</v>
      </c>
      <c r="Q77" s="78">
        <f t="shared" si="18"/>
        <v>0</v>
      </c>
      <c r="R77" s="78">
        <f t="shared" si="18"/>
        <v>5075</v>
      </c>
      <c r="S77" s="8">
        <v>74</v>
      </c>
    </row>
    <row r="78" spans="1:19"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136</v>
      </c>
      <c r="E80" s="13">
        <v>5075</v>
      </c>
      <c r="F80" s="13">
        <v>0</v>
      </c>
      <c r="G80" s="13">
        <v>0</v>
      </c>
      <c r="H80" s="13">
        <v>0</v>
      </c>
      <c r="I80" s="13">
        <v>0</v>
      </c>
      <c r="J80" s="13">
        <v>0</v>
      </c>
      <c r="K80" s="13">
        <v>0</v>
      </c>
      <c r="L80" s="13">
        <v>0</v>
      </c>
      <c r="M80" s="13">
        <v>0</v>
      </c>
      <c r="N80" s="13">
        <v>0</v>
      </c>
      <c r="O80" s="13">
        <v>0</v>
      </c>
      <c r="P80" s="13">
        <v>0</v>
      </c>
      <c r="Q80" s="13">
        <v>0</v>
      </c>
      <c r="R80" s="13">
        <f>SUM(E80:Q80)</f>
        <v>5075</v>
      </c>
      <c r="S80" s="8">
        <v>77</v>
      </c>
    </row>
    <row r="81" spans="2:19"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77">
        <v>41</v>
      </c>
      <c r="C83" s="77"/>
      <c r="D83" s="77" t="s">
        <v>138</v>
      </c>
      <c r="E83" s="78">
        <f>E84+E85+E86+E87</f>
        <v>8000</v>
      </c>
      <c r="F83" s="78">
        <f t="shared" ref="F83:R83" si="19">F84+F85+F86+F87</f>
        <v>0</v>
      </c>
      <c r="G83" s="78">
        <f t="shared" si="19"/>
        <v>0</v>
      </c>
      <c r="H83" s="78">
        <f t="shared" si="19"/>
        <v>0</v>
      </c>
      <c r="I83" s="78">
        <f t="shared" si="19"/>
        <v>0</v>
      </c>
      <c r="J83" s="78">
        <f t="shared" si="19"/>
        <v>0</v>
      </c>
      <c r="K83" s="78">
        <f t="shared" si="19"/>
        <v>0</v>
      </c>
      <c r="L83" s="78">
        <f t="shared" si="19"/>
        <v>0</v>
      </c>
      <c r="M83" s="78">
        <f t="shared" si="19"/>
        <v>0</v>
      </c>
      <c r="N83" s="78">
        <f t="shared" si="19"/>
        <v>0</v>
      </c>
      <c r="O83" s="78">
        <f t="shared" si="19"/>
        <v>0</v>
      </c>
      <c r="P83" s="78">
        <f t="shared" si="19"/>
        <v>0</v>
      </c>
      <c r="Q83" s="78">
        <f t="shared" si="19"/>
        <v>0</v>
      </c>
      <c r="R83" s="78">
        <f t="shared" si="19"/>
        <v>8000</v>
      </c>
      <c r="S83" s="8">
        <v>80</v>
      </c>
    </row>
    <row r="84" spans="2:1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141</v>
      </c>
      <c r="E86" s="13">
        <v>8000</v>
      </c>
      <c r="F86" s="13">
        <v>0</v>
      </c>
      <c r="G86" s="13">
        <v>0</v>
      </c>
      <c r="H86" s="13">
        <v>0</v>
      </c>
      <c r="I86" s="13">
        <v>0</v>
      </c>
      <c r="J86" s="13">
        <v>0</v>
      </c>
      <c r="K86" s="13">
        <v>0</v>
      </c>
      <c r="L86" s="13">
        <v>0</v>
      </c>
      <c r="M86" s="13">
        <v>0</v>
      </c>
      <c r="N86" s="13">
        <v>0</v>
      </c>
      <c r="O86" s="13">
        <v>0</v>
      </c>
      <c r="P86" s="13">
        <v>0</v>
      </c>
      <c r="Q86" s="13">
        <v>0</v>
      </c>
      <c r="R86" s="13">
        <f>SUM(E86:Q86)</f>
        <v>8000</v>
      </c>
      <c r="S86" s="8">
        <v>83</v>
      </c>
    </row>
    <row r="87" spans="2:1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77">
        <v>42</v>
      </c>
      <c r="C89" s="77"/>
      <c r="D89" s="77" t="s">
        <v>143</v>
      </c>
      <c r="E89" s="78">
        <f>E90+E91+E92+E93+E94+E95+E96+E97+E98</f>
        <v>382396.81</v>
      </c>
      <c r="F89" s="78">
        <f t="shared" ref="F89:R89" si="20">F90+F91+F92+F93+F94+F95+F96+F97+F98</f>
        <v>25427.4</v>
      </c>
      <c r="G89" s="78">
        <f t="shared" si="20"/>
        <v>105702.58</v>
      </c>
      <c r="H89" s="78">
        <f t="shared" si="20"/>
        <v>31072.940000000002</v>
      </c>
      <c r="I89" s="78">
        <f t="shared" si="20"/>
        <v>117876.55</v>
      </c>
      <c r="J89" s="78">
        <f t="shared" si="20"/>
        <v>569727.68000000005</v>
      </c>
      <c r="K89" s="78">
        <f t="shared" si="20"/>
        <v>46460.5</v>
      </c>
      <c r="L89" s="78">
        <f t="shared" si="20"/>
        <v>137548.43000000002</v>
      </c>
      <c r="M89" s="78">
        <f t="shared" si="20"/>
        <v>16004</v>
      </c>
      <c r="N89" s="78">
        <f t="shared" si="20"/>
        <v>48158.400000000001</v>
      </c>
      <c r="O89" s="78">
        <f t="shared" si="20"/>
        <v>57103.8</v>
      </c>
      <c r="P89" s="78">
        <f t="shared" si="20"/>
        <v>83590.649999999994</v>
      </c>
      <c r="Q89" s="78">
        <f t="shared" si="20"/>
        <v>144812.16</v>
      </c>
      <c r="R89" s="78">
        <f t="shared" si="20"/>
        <v>1765881.9000000001</v>
      </c>
      <c r="S89" s="8">
        <v>86</v>
      </c>
    </row>
    <row r="90" spans="2:19"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145</v>
      </c>
      <c r="E91" s="13">
        <v>0</v>
      </c>
      <c r="F91" s="13">
        <v>0</v>
      </c>
      <c r="G91" s="13">
        <v>0</v>
      </c>
      <c r="H91" s="13">
        <v>4783.84</v>
      </c>
      <c r="I91" s="13">
        <v>0</v>
      </c>
      <c r="J91" s="13">
        <v>1200</v>
      </c>
      <c r="K91" s="13">
        <v>0</v>
      </c>
      <c r="L91" s="13">
        <v>600</v>
      </c>
      <c r="M91" s="13">
        <v>0</v>
      </c>
      <c r="N91" s="13">
        <v>0</v>
      </c>
      <c r="O91" s="13">
        <v>0</v>
      </c>
      <c r="P91" s="13">
        <v>0</v>
      </c>
      <c r="Q91" s="13">
        <v>0</v>
      </c>
      <c r="R91" s="13">
        <f t="shared" si="21"/>
        <v>6583.84</v>
      </c>
      <c r="S91" s="8">
        <v>88</v>
      </c>
    </row>
    <row r="92" spans="2:1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148</v>
      </c>
      <c r="E94" s="13">
        <v>29730</v>
      </c>
      <c r="F94" s="13">
        <v>0</v>
      </c>
      <c r="G94" s="13">
        <v>0</v>
      </c>
      <c r="H94" s="13">
        <v>0</v>
      </c>
      <c r="I94" s="13">
        <v>0</v>
      </c>
      <c r="J94" s="13">
        <v>41315.75</v>
      </c>
      <c r="K94" s="13">
        <v>14700</v>
      </c>
      <c r="L94" s="13">
        <v>0</v>
      </c>
      <c r="M94" s="13">
        <v>0</v>
      </c>
      <c r="N94" s="13">
        <v>6692.4</v>
      </c>
      <c r="O94" s="13">
        <v>0</v>
      </c>
      <c r="P94" s="13">
        <v>21990.65</v>
      </c>
      <c r="Q94" s="13">
        <v>53184.75</v>
      </c>
      <c r="R94" s="13">
        <f t="shared" si="21"/>
        <v>167613.54999999999</v>
      </c>
      <c r="S94" s="8">
        <v>91</v>
      </c>
    </row>
    <row r="95" spans="2:19" x14ac:dyDescent="0.2">
      <c r="C95" s="8">
        <v>425</v>
      </c>
      <c r="D95" s="8" t="s">
        <v>149</v>
      </c>
      <c r="E95" s="13">
        <v>352511.81</v>
      </c>
      <c r="F95" s="13">
        <v>24207.4</v>
      </c>
      <c r="G95" s="13">
        <v>94731.33</v>
      </c>
      <c r="H95" s="13">
        <v>14653</v>
      </c>
      <c r="I95" s="13">
        <v>103970.25</v>
      </c>
      <c r="J95" s="13">
        <v>459046.33</v>
      </c>
      <c r="K95" s="13">
        <v>31660.5</v>
      </c>
      <c r="L95" s="13">
        <v>132001.70000000001</v>
      </c>
      <c r="M95" s="13">
        <v>16004</v>
      </c>
      <c r="N95" s="13">
        <v>37386</v>
      </c>
      <c r="O95" s="13">
        <v>54962.400000000001</v>
      </c>
      <c r="P95" s="13">
        <v>44051.35</v>
      </c>
      <c r="Q95" s="13">
        <v>87352.6</v>
      </c>
      <c r="R95" s="13">
        <f t="shared" si="21"/>
        <v>1452538.6700000002</v>
      </c>
      <c r="S95" s="8">
        <v>92</v>
      </c>
    </row>
    <row r="96" spans="2:19" x14ac:dyDescent="0.2">
      <c r="C96" s="8">
        <v>426</v>
      </c>
      <c r="D96" s="8" t="s">
        <v>150</v>
      </c>
      <c r="E96" s="13">
        <v>155</v>
      </c>
      <c r="F96" s="13">
        <v>1220</v>
      </c>
      <c r="G96" s="13">
        <v>10971.25</v>
      </c>
      <c r="H96" s="13">
        <v>11636.1</v>
      </c>
      <c r="I96" s="13">
        <v>13906.3</v>
      </c>
      <c r="J96" s="13">
        <v>68165.600000000006</v>
      </c>
      <c r="K96" s="13">
        <v>100</v>
      </c>
      <c r="L96" s="13">
        <v>4946.7299999999996</v>
      </c>
      <c r="M96" s="13">
        <v>0</v>
      </c>
      <c r="N96" s="13">
        <v>4080</v>
      </c>
      <c r="O96" s="13">
        <v>2141.4</v>
      </c>
      <c r="P96" s="13">
        <v>17548.650000000001</v>
      </c>
      <c r="Q96" s="13">
        <v>4274.8100000000004</v>
      </c>
      <c r="R96" s="13">
        <f t="shared" si="21"/>
        <v>139145.84</v>
      </c>
      <c r="S96" s="8">
        <v>93</v>
      </c>
    </row>
    <row r="97" spans="2:19" x14ac:dyDescent="0.2">
      <c r="C97" s="8">
        <v>427</v>
      </c>
      <c r="D97" s="8" t="s">
        <v>151</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152</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77">
        <v>43</v>
      </c>
      <c r="C100" s="77"/>
      <c r="D100" s="77" t="s">
        <v>153</v>
      </c>
      <c r="E100" s="78">
        <f>E101+E102+E103+E104</f>
        <v>1636</v>
      </c>
      <c r="F100" s="78">
        <f t="shared" ref="F100:R100" si="22">F101+F102+F103+F104</f>
        <v>0</v>
      </c>
      <c r="G100" s="78">
        <f t="shared" si="22"/>
        <v>0</v>
      </c>
      <c r="H100" s="78">
        <f t="shared" si="22"/>
        <v>0</v>
      </c>
      <c r="I100" s="78">
        <f t="shared" si="22"/>
        <v>0</v>
      </c>
      <c r="J100" s="78">
        <f t="shared" si="22"/>
        <v>0</v>
      </c>
      <c r="K100" s="78">
        <f t="shared" si="22"/>
        <v>0</v>
      </c>
      <c r="L100" s="78">
        <f t="shared" si="22"/>
        <v>0</v>
      </c>
      <c r="M100" s="78">
        <f t="shared" si="22"/>
        <v>0</v>
      </c>
      <c r="N100" s="78">
        <f t="shared" si="22"/>
        <v>0</v>
      </c>
      <c r="O100" s="78">
        <f t="shared" si="22"/>
        <v>0</v>
      </c>
      <c r="P100" s="78">
        <f t="shared" si="22"/>
        <v>0</v>
      </c>
      <c r="Q100" s="78">
        <f t="shared" si="22"/>
        <v>0</v>
      </c>
      <c r="R100" s="78">
        <f t="shared" si="22"/>
        <v>1636</v>
      </c>
      <c r="S100" s="8">
        <v>97</v>
      </c>
    </row>
    <row r="101" spans="2:19"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156</v>
      </c>
      <c r="E103" s="13">
        <v>1636</v>
      </c>
      <c r="F103" s="13">
        <v>0</v>
      </c>
      <c r="G103" s="13">
        <v>0</v>
      </c>
      <c r="H103" s="13">
        <v>0</v>
      </c>
      <c r="I103" s="13">
        <v>0</v>
      </c>
      <c r="J103" s="13">
        <v>0</v>
      </c>
      <c r="K103" s="13">
        <v>0</v>
      </c>
      <c r="L103" s="13">
        <v>0</v>
      </c>
      <c r="M103" s="13">
        <v>0</v>
      </c>
      <c r="N103" s="13">
        <v>0</v>
      </c>
      <c r="O103" s="13">
        <v>0</v>
      </c>
      <c r="P103" s="13">
        <v>0</v>
      </c>
      <c r="Q103" s="13">
        <v>0</v>
      </c>
      <c r="R103" s="13">
        <f>SUM(E103:Q103)</f>
        <v>1636</v>
      </c>
      <c r="S103" s="8">
        <v>100</v>
      </c>
    </row>
    <row r="104" spans="2:19"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77">
        <v>44</v>
      </c>
      <c r="C106" s="77"/>
      <c r="D106" s="77" t="s">
        <v>158</v>
      </c>
      <c r="E106" s="78">
        <f>E107+E108+E109+E110+E111+E112+E113+E114+E115+E116</f>
        <v>354190.93000000005</v>
      </c>
      <c r="F106" s="78">
        <f t="shared" ref="F106:R106" si="23">F107+F108+F109+F110+F111+F112+F113+F114+F115+F116</f>
        <v>47664.79</v>
      </c>
      <c r="G106" s="78">
        <f t="shared" si="23"/>
        <v>39562.590000000004</v>
      </c>
      <c r="H106" s="78">
        <f t="shared" si="23"/>
        <v>41622.6</v>
      </c>
      <c r="I106" s="78">
        <f t="shared" si="23"/>
        <v>82101.33</v>
      </c>
      <c r="J106" s="78">
        <f t="shared" si="23"/>
        <v>1273108.2</v>
      </c>
      <c r="K106" s="78">
        <f t="shared" si="23"/>
        <v>21056.100000000002</v>
      </c>
      <c r="L106" s="78">
        <f t="shared" si="23"/>
        <v>18961</v>
      </c>
      <c r="M106" s="78">
        <f t="shared" si="23"/>
        <v>5807.11</v>
      </c>
      <c r="N106" s="78">
        <f t="shared" si="23"/>
        <v>5305.37</v>
      </c>
      <c r="O106" s="78">
        <f t="shared" si="23"/>
        <v>117413.63</v>
      </c>
      <c r="P106" s="78">
        <f t="shared" si="23"/>
        <v>104902.70999999999</v>
      </c>
      <c r="Q106" s="78">
        <f t="shared" si="23"/>
        <v>35632.799999999996</v>
      </c>
      <c r="R106" s="78">
        <f t="shared" si="23"/>
        <v>2147329.1599999997</v>
      </c>
      <c r="S106" s="8">
        <v>103</v>
      </c>
    </row>
    <row r="107" spans="2:19" x14ac:dyDescent="0.2">
      <c r="C107" s="8">
        <v>440</v>
      </c>
      <c r="D107" s="8" t="s">
        <v>159</v>
      </c>
      <c r="E107" s="13">
        <v>4200.78</v>
      </c>
      <c r="F107" s="13">
        <v>329.81</v>
      </c>
      <c r="G107" s="13">
        <v>257.94</v>
      </c>
      <c r="H107" s="13">
        <v>370.9</v>
      </c>
      <c r="I107" s="13">
        <v>417.83</v>
      </c>
      <c r="J107" s="13">
        <v>52094.75</v>
      </c>
      <c r="K107" s="13">
        <v>289.7</v>
      </c>
      <c r="L107" s="13">
        <v>3599.55</v>
      </c>
      <c r="M107" s="13">
        <v>335.46</v>
      </c>
      <c r="N107" s="13">
        <v>941.37</v>
      </c>
      <c r="O107" s="13">
        <v>1540.63</v>
      </c>
      <c r="P107" s="13">
        <v>27.31</v>
      </c>
      <c r="Q107" s="13">
        <v>4807.45</v>
      </c>
      <c r="R107" s="13">
        <f t="shared" ref="R107:R116" si="24">SUM(E107:Q107)</f>
        <v>69213.48</v>
      </c>
      <c r="S107" s="8">
        <v>104</v>
      </c>
    </row>
    <row r="108" spans="2:19"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f t="shared" si="24"/>
        <v>0</v>
      </c>
      <c r="S108" s="8">
        <v>105</v>
      </c>
    </row>
    <row r="109" spans="2:19" x14ac:dyDescent="0.2">
      <c r="C109" s="8">
        <v>442</v>
      </c>
      <c r="D109" s="8" t="s">
        <v>161</v>
      </c>
      <c r="E109" s="13">
        <v>0</v>
      </c>
      <c r="F109" s="13">
        <v>0</v>
      </c>
      <c r="G109" s="13">
        <v>0</v>
      </c>
      <c r="H109" s="13">
        <v>0</v>
      </c>
      <c r="I109" s="13">
        <v>0</v>
      </c>
      <c r="J109" s="13">
        <v>175</v>
      </c>
      <c r="K109" s="13">
        <v>0</v>
      </c>
      <c r="L109" s="13">
        <v>16561.45</v>
      </c>
      <c r="M109" s="13">
        <v>0</v>
      </c>
      <c r="N109" s="13">
        <v>0</v>
      </c>
      <c r="O109" s="13">
        <v>0</v>
      </c>
      <c r="P109" s="13">
        <v>0</v>
      </c>
      <c r="Q109" s="13">
        <v>0</v>
      </c>
      <c r="R109" s="13">
        <f t="shared" si="24"/>
        <v>16736.45</v>
      </c>
      <c r="S109" s="8">
        <v>106</v>
      </c>
    </row>
    <row r="110" spans="2:19" x14ac:dyDescent="0.2">
      <c r="C110" s="8">
        <v>443</v>
      </c>
      <c r="D110" s="8" t="s">
        <v>162</v>
      </c>
      <c r="E110" s="13">
        <v>304288.90000000002</v>
      </c>
      <c r="F110" s="13">
        <v>47334.98</v>
      </c>
      <c r="G110" s="13">
        <v>13900</v>
      </c>
      <c r="H110" s="13">
        <v>0</v>
      </c>
      <c r="I110" s="13">
        <v>18996</v>
      </c>
      <c r="J110" s="13">
        <v>771436.5</v>
      </c>
      <c r="K110" s="13">
        <v>0</v>
      </c>
      <c r="L110" s="13">
        <v>-1200</v>
      </c>
      <c r="M110" s="13">
        <v>0</v>
      </c>
      <c r="N110" s="13">
        <v>0</v>
      </c>
      <c r="O110" s="13">
        <v>34800</v>
      </c>
      <c r="P110" s="13">
        <v>41431.35</v>
      </c>
      <c r="Q110" s="13">
        <v>1800</v>
      </c>
      <c r="R110" s="13">
        <f t="shared" si="24"/>
        <v>1232787.73</v>
      </c>
      <c r="S110" s="8">
        <v>107</v>
      </c>
    </row>
    <row r="111" spans="2:19" x14ac:dyDescent="0.2">
      <c r="C111" s="8">
        <v>444</v>
      </c>
      <c r="D111" s="8" t="s">
        <v>102</v>
      </c>
      <c r="E111" s="13">
        <v>0</v>
      </c>
      <c r="F111" s="13">
        <v>0</v>
      </c>
      <c r="G111" s="13">
        <v>0</v>
      </c>
      <c r="H111" s="13">
        <v>0</v>
      </c>
      <c r="I111" s="13">
        <v>0</v>
      </c>
      <c r="J111" s="13">
        <v>0</v>
      </c>
      <c r="K111" s="13">
        <v>0</v>
      </c>
      <c r="L111" s="13">
        <v>0</v>
      </c>
      <c r="M111" s="13">
        <v>0</v>
      </c>
      <c r="N111" s="13">
        <v>0</v>
      </c>
      <c r="O111" s="13">
        <v>0</v>
      </c>
      <c r="P111" s="13">
        <v>0</v>
      </c>
      <c r="Q111" s="13">
        <v>0</v>
      </c>
      <c r="R111" s="13">
        <f t="shared" si="24"/>
        <v>0</v>
      </c>
      <c r="S111" s="8">
        <v>108</v>
      </c>
    </row>
    <row r="112" spans="2:19"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165</v>
      </c>
      <c r="E114" s="13">
        <v>45701.25</v>
      </c>
      <c r="F114" s="13">
        <v>0</v>
      </c>
      <c r="G114" s="13">
        <v>25404.65</v>
      </c>
      <c r="H114" s="13">
        <v>41251.699999999997</v>
      </c>
      <c r="I114" s="13">
        <v>62687.5</v>
      </c>
      <c r="J114" s="13">
        <v>449401.95</v>
      </c>
      <c r="K114" s="13">
        <v>20766.400000000001</v>
      </c>
      <c r="L114" s="13">
        <v>0</v>
      </c>
      <c r="M114" s="13">
        <v>5559</v>
      </c>
      <c r="N114" s="13">
        <v>4364</v>
      </c>
      <c r="O114" s="13">
        <v>81073</v>
      </c>
      <c r="P114" s="13">
        <v>63444.05</v>
      </c>
      <c r="Q114" s="13">
        <v>29025.35</v>
      </c>
      <c r="R114" s="13">
        <f t="shared" si="24"/>
        <v>828678.85000000009</v>
      </c>
      <c r="S114" s="8">
        <v>111</v>
      </c>
    </row>
    <row r="115" spans="2:1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167</v>
      </c>
      <c r="E116" s="13">
        <v>0</v>
      </c>
      <c r="F116" s="13">
        <v>0</v>
      </c>
      <c r="G116" s="13">
        <v>0</v>
      </c>
      <c r="H116" s="13">
        <v>0</v>
      </c>
      <c r="I116" s="13">
        <v>0</v>
      </c>
      <c r="J116" s="13">
        <v>0</v>
      </c>
      <c r="K116" s="13">
        <v>0</v>
      </c>
      <c r="L116" s="13">
        <v>0</v>
      </c>
      <c r="M116" s="13">
        <v>-87.35</v>
      </c>
      <c r="N116" s="13">
        <v>0</v>
      </c>
      <c r="O116" s="13">
        <v>0</v>
      </c>
      <c r="P116" s="13">
        <v>0</v>
      </c>
      <c r="Q116" s="13">
        <v>0</v>
      </c>
      <c r="R116" s="13">
        <f t="shared" si="24"/>
        <v>-87.35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77">
        <v>45</v>
      </c>
      <c r="C118" s="77"/>
      <c r="D118" s="77" t="s">
        <v>170</v>
      </c>
      <c r="E118" s="78">
        <f>E119+E120</f>
        <v>0</v>
      </c>
      <c r="F118" s="78">
        <f t="shared" ref="F118:R118" si="25">F119+F120</f>
        <v>0</v>
      </c>
      <c r="G118" s="78">
        <f t="shared" si="25"/>
        <v>0</v>
      </c>
      <c r="H118" s="78">
        <f t="shared" si="25"/>
        <v>0</v>
      </c>
      <c r="I118" s="78">
        <f t="shared" si="25"/>
        <v>6520.3</v>
      </c>
      <c r="J118" s="78">
        <f t="shared" si="25"/>
        <v>23900</v>
      </c>
      <c r="K118" s="78">
        <f t="shared" si="25"/>
        <v>0</v>
      </c>
      <c r="L118" s="78">
        <f t="shared" si="25"/>
        <v>2200</v>
      </c>
      <c r="M118" s="78">
        <f t="shared" si="25"/>
        <v>87.35</v>
      </c>
      <c r="N118" s="78">
        <f t="shared" si="25"/>
        <v>0</v>
      </c>
      <c r="O118" s="78">
        <f t="shared" si="25"/>
        <v>0</v>
      </c>
      <c r="P118" s="78">
        <f t="shared" si="25"/>
        <v>0</v>
      </c>
      <c r="Q118" s="78">
        <f t="shared" si="25"/>
        <v>14000</v>
      </c>
      <c r="R118" s="78">
        <f t="shared" si="25"/>
        <v>46707.65</v>
      </c>
      <c r="S118" s="8">
        <v>115</v>
      </c>
    </row>
    <row r="119" spans="2:19" x14ac:dyDescent="0.2">
      <c r="C119" s="8">
        <v>450</v>
      </c>
      <c r="D119" s="8" t="s">
        <v>168</v>
      </c>
      <c r="E119" s="13">
        <v>0</v>
      </c>
      <c r="F119" s="13">
        <v>0</v>
      </c>
      <c r="G119" s="13">
        <v>0</v>
      </c>
      <c r="H119" s="13">
        <v>0</v>
      </c>
      <c r="I119" s="13">
        <v>0</v>
      </c>
      <c r="J119" s="13">
        <v>0</v>
      </c>
      <c r="K119" s="13">
        <v>0</v>
      </c>
      <c r="L119" s="13">
        <v>2200</v>
      </c>
      <c r="M119" s="13">
        <v>87.35</v>
      </c>
      <c r="N119" s="13">
        <v>0</v>
      </c>
      <c r="O119" s="13">
        <v>0</v>
      </c>
      <c r="P119" s="13">
        <v>0</v>
      </c>
      <c r="Q119" s="13">
        <v>0</v>
      </c>
      <c r="R119" s="13">
        <f>SUM(E119:Q119)</f>
        <v>2287.35</v>
      </c>
      <c r="S119" s="8">
        <v>116</v>
      </c>
    </row>
    <row r="120" spans="2:19" x14ac:dyDescent="0.2">
      <c r="C120" s="8">
        <v>451</v>
      </c>
      <c r="D120" s="8" t="s">
        <v>169</v>
      </c>
      <c r="E120" s="13">
        <v>0</v>
      </c>
      <c r="F120" s="13">
        <v>0</v>
      </c>
      <c r="G120" s="13">
        <v>0</v>
      </c>
      <c r="H120" s="13">
        <v>0</v>
      </c>
      <c r="I120" s="13">
        <v>6520.3</v>
      </c>
      <c r="J120" s="13">
        <v>23900</v>
      </c>
      <c r="K120" s="13">
        <v>0</v>
      </c>
      <c r="L120" s="13">
        <v>0</v>
      </c>
      <c r="M120" s="13">
        <v>0</v>
      </c>
      <c r="N120" s="13">
        <v>0</v>
      </c>
      <c r="O120" s="13">
        <v>0</v>
      </c>
      <c r="P120" s="13">
        <v>0</v>
      </c>
      <c r="Q120" s="13">
        <v>14000</v>
      </c>
      <c r="R120" s="13">
        <f>SUM(E120:Q120)</f>
        <v>44420.3</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77">
        <v>46</v>
      </c>
      <c r="C122" s="77"/>
      <c r="D122" s="77" t="s">
        <v>171</v>
      </c>
      <c r="E122" s="78">
        <f>E123+E124+E125+E126+E127</f>
        <v>204665.30000000002</v>
      </c>
      <c r="F122" s="78">
        <f t="shared" ref="F122:R122" si="26">F123+F124+F125+F126+F127</f>
        <v>18644.099999999999</v>
      </c>
      <c r="G122" s="78">
        <f t="shared" si="26"/>
        <v>26955.45</v>
      </c>
      <c r="H122" s="78">
        <f t="shared" si="26"/>
        <v>0</v>
      </c>
      <c r="I122" s="78">
        <f t="shared" si="26"/>
        <v>14557.550000000001</v>
      </c>
      <c r="J122" s="78">
        <f t="shared" si="26"/>
        <v>22658.2</v>
      </c>
      <c r="K122" s="78">
        <f t="shared" si="26"/>
        <v>37432.699999999997</v>
      </c>
      <c r="L122" s="78">
        <f t="shared" si="26"/>
        <v>14580.1</v>
      </c>
      <c r="M122" s="78">
        <f t="shared" si="26"/>
        <v>3263.3</v>
      </c>
      <c r="N122" s="78">
        <f t="shared" si="26"/>
        <v>45657.9</v>
      </c>
      <c r="O122" s="78">
        <f t="shared" si="26"/>
        <v>12216.95</v>
      </c>
      <c r="P122" s="78">
        <f t="shared" si="26"/>
        <v>877.45</v>
      </c>
      <c r="Q122" s="78">
        <f t="shared" si="26"/>
        <v>230158.35</v>
      </c>
      <c r="R122" s="78">
        <f t="shared" si="26"/>
        <v>631667.35</v>
      </c>
      <c r="S122" s="8">
        <v>119</v>
      </c>
    </row>
    <row r="123" spans="2:19"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173</v>
      </c>
      <c r="E124" s="13">
        <v>700</v>
      </c>
      <c r="F124" s="13">
        <v>0</v>
      </c>
      <c r="G124" s="13">
        <v>0</v>
      </c>
      <c r="H124" s="13">
        <v>0</v>
      </c>
      <c r="I124" s="13">
        <v>1783.95</v>
      </c>
      <c r="J124" s="13">
        <v>0</v>
      </c>
      <c r="K124" s="13">
        <v>0</v>
      </c>
      <c r="L124" s="13">
        <v>0</v>
      </c>
      <c r="M124" s="13">
        <v>0</v>
      </c>
      <c r="N124" s="13">
        <v>0</v>
      </c>
      <c r="O124" s="13">
        <v>0</v>
      </c>
      <c r="P124" s="13">
        <v>0</v>
      </c>
      <c r="Q124" s="13">
        <v>0</v>
      </c>
      <c r="R124" s="13">
        <f>SUM(E124:Q124)</f>
        <v>2483.9499999999998</v>
      </c>
      <c r="S124" s="8">
        <v>121</v>
      </c>
    </row>
    <row r="125" spans="2:19"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174</v>
      </c>
      <c r="E126" s="13">
        <v>201474.45</v>
      </c>
      <c r="F126" s="13">
        <v>17960</v>
      </c>
      <c r="G126" s="13">
        <v>25800</v>
      </c>
      <c r="H126" s="13">
        <v>0</v>
      </c>
      <c r="I126" s="13">
        <v>10093.5</v>
      </c>
      <c r="J126" s="13">
        <v>22658.2</v>
      </c>
      <c r="K126" s="13">
        <v>37049.5</v>
      </c>
      <c r="L126" s="13">
        <v>13237.5</v>
      </c>
      <c r="M126" s="13">
        <v>3180</v>
      </c>
      <c r="N126" s="13">
        <v>45657.9</v>
      </c>
      <c r="O126" s="13">
        <v>12095.5</v>
      </c>
      <c r="P126" s="13">
        <v>0</v>
      </c>
      <c r="Q126" s="13">
        <v>229457.95</v>
      </c>
      <c r="R126" s="13">
        <f>SUM(E126:Q126)</f>
        <v>618664.5</v>
      </c>
      <c r="S126" s="8">
        <v>123</v>
      </c>
    </row>
    <row r="127" spans="2:19" x14ac:dyDescent="0.2">
      <c r="C127" s="8">
        <v>469</v>
      </c>
      <c r="D127" s="8" t="s">
        <v>175</v>
      </c>
      <c r="E127" s="13">
        <v>2490.85</v>
      </c>
      <c r="F127" s="13">
        <v>684.1</v>
      </c>
      <c r="G127" s="13">
        <v>1155.45</v>
      </c>
      <c r="H127" s="13">
        <v>0</v>
      </c>
      <c r="I127" s="13">
        <v>2680.1</v>
      </c>
      <c r="J127" s="13">
        <v>0</v>
      </c>
      <c r="K127" s="13">
        <v>383.2</v>
      </c>
      <c r="L127" s="13">
        <v>1342.6</v>
      </c>
      <c r="M127" s="13">
        <v>83.3</v>
      </c>
      <c r="N127" s="13">
        <v>0</v>
      </c>
      <c r="O127" s="13">
        <v>121.45</v>
      </c>
      <c r="P127" s="13">
        <v>877.45</v>
      </c>
      <c r="Q127" s="13">
        <v>700.4</v>
      </c>
      <c r="R127" s="13">
        <f>SUM(E127:Q127)</f>
        <v>10518.9</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77">
        <v>47</v>
      </c>
      <c r="C129" s="77"/>
      <c r="D129" s="77" t="s">
        <v>115</v>
      </c>
      <c r="E129" s="78">
        <f>E130</f>
        <v>0</v>
      </c>
      <c r="F129" s="78">
        <f t="shared" ref="F129:R129" si="27">F130</f>
        <v>0</v>
      </c>
      <c r="G129" s="78">
        <f t="shared" si="27"/>
        <v>0</v>
      </c>
      <c r="H129" s="78">
        <f t="shared" si="27"/>
        <v>0</v>
      </c>
      <c r="I129" s="78">
        <f t="shared" si="27"/>
        <v>0</v>
      </c>
      <c r="J129" s="78">
        <f t="shared" si="27"/>
        <v>0</v>
      </c>
      <c r="K129" s="78">
        <f t="shared" si="27"/>
        <v>6718.8</v>
      </c>
      <c r="L129" s="78">
        <f t="shared" si="27"/>
        <v>0</v>
      </c>
      <c r="M129" s="78">
        <f t="shared" si="27"/>
        <v>0</v>
      </c>
      <c r="N129" s="78">
        <f t="shared" si="27"/>
        <v>0</v>
      </c>
      <c r="O129" s="78">
        <f t="shared" si="27"/>
        <v>0</v>
      </c>
      <c r="P129" s="78">
        <f t="shared" si="27"/>
        <v>0</v>
      </c>
      <c r="Q129" s="78">
        <f t="shared" si="27"/>
        <v>0</v>
      </c>
      <c r="R129" s="78">
        <f t="shared" si="27"/>
        <v>6718.8</v>
      </c>
      <c r="S129" s="8">
        <v>126</v>
      </c>
    </row>
    <row r="130" spans="2:19" x14ac:dyDescent="0.2">
      <c r="C130" s="8">
        <v>470</v>
      </c>
      <c r="D130" s="8" t="s">
        <v>176</v>
      </c>
      <c r="E130" s="13">
        <v>0</v>
      </c>
      <c r="F130" s="13">
        <v>0</v>
      </c>
      <c r="G130" s="13">
        <v>0</v>
      </c>
      <c r="H130" s="13">
        <v>0</v>
      </c>
      <c r="I130" s="13">
        <v>0</v>
      </c>
      <c r="J130" s="13">
        <v>0</v>
      </c>
      <c r="K130" s="13">
        <v>6718.8</v>
      </c>
      <c r="L130" s="13">
        <v>0</v>
      </c>
      <c r="M130" s="13">
        <v>0</v>
      </c>
      <c r="N130" s="13">
        <v>0</v>
      </c>
      <c r="O130" s="13">
        <v>0</v>
      </c>
      <c r="P130" s="13">
        <v>0</v>
      </c>
      <c r="Q130" s="13">
        <v>0</v>
      </c>
      <c r="R130" s="13">
        <f>SUM(E130:Q130)</f>
        <v>6718.8</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77">
        <v>48</v>
      </c>
      <c r="C132" s="77"/>
      <c r="D132" s="77" t="s">
        <v>177</v>
      </c>
      <c r="E132" s="78">
        <f>E133+E134+E135+E136+E137+E138+E139</f>
        <v>71400</v>
      </c>
      <c r="F132" s="78">
        <f t="shared" ref="F132:R132" si="28">F133+F134+F135+F136+F137+F138+F139</f>
        <v>0</v>
      </c>
      <c r="G132" s="78">
        <f t="shared" si="28"/>
        <v>0</v>
      </c>
      <c r="H132" s="78">
        <f t="shared" si="28"/>
        <v>0</v>
      </c>
      <c r="I132" s="78">
        <f t="shared" si="28"/>
        <v>0</v>
      </c>
      <c r="J132" s="78">
        <f t="shared" si="28"/>
        <v>0</v>
      </c>
      <c r="K132" s="78">
        <f t="shared" si="28"/>
        <v>0</v>
      </c>
      <c r="L132" s="78">
        <f t="shared" si="28"/>
        <v>0</v>
      </c>
      <c r="M132" s="78">
        <f t="shared" si="28"/>
        <v>0</v>
      </c>
      <c r="N132" s="78">
        <f t="shared" si="28"/>
        <v>0</v>
      </c>
      <c r="O132" s="78">
        <f t="shared" si="28"/>
        <v>0</v>
      </c>
      <c r="P132" s="78">
        <f t="shared" si="28"/>
        <v>0</v>
      </c>
      <c r="Q132" s="78">
        <f t="shared" si="28"/>
        <v>0</v>
      </c>
      <c r="R132" s="78">
        <f t="shared" si="28"/>
        <v>71400</v>
      </c>
      <c r="S132" s="8">
        <v>129</v>
      </c>
    </row>
    <row r="133" spans="2:1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181</v>
      </c>
      <c r="E136" s="13">
        <v>71400</v>
      </c>
      <c r="F136" s="13">
        <v>0</v>
      </c>
      <c r="G136" s="13">
        <v>0</v>
      </c>
      <c r="H136" s="13">
        <v>0</v>
      </c>
      <c r="I136" s="13">
        <v>0</v>
      </c>
      <c r="J136" s="13">
        <v>0</v>
      </c>
      <c r="K136" s="13">
        <v>0</v>
      </c>
      <c r="L136" s="13">
        <v>0</v>
      </c>
      <c r="M136" s="13">
        <v>0</v>
      </c>
      <c r="N136" s="13">
        <v>0</v>
      </c>
      <c r="O136" s="13">
        <v>0</v>
      </c>
      <c r="P136" s="13">
        <v>0</v>
      </c>
      <c r="Q136" s="13">
        <v>0</v>
      </c>
      <c r="R136" s="13">
        <f t="shared" si="29"/>
        <v>71400</v>
      </c>
      <c r="S136" s="8">
        <v>133</v>
      </c>
    </row>
    <row r="137" spans="2:1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184</v>
      </c>
      <c r="E139" s="13">
        <v>0</v>
      </c>
      <c r="F139" s="13">
        <v>0</v>
      </c>
      <c r="G139" s="13">
        <v>0</v>
      </c>
      <c r="H139" s="13">
        <v>0</v>
      </c>
      <c r="I139" s="13">
        <v>0</v>
      </c>
      <c r="J139" s="13">
        <v>0</v>
      </c>
      <c r="K139" s="13">
        <v>0</v>
      </c>
      <c r="L139" s="13">
        <v>0</v>
      </c>
      <c r="M139" s="13">
        <v>0</v>
      </c>
      <c r="N139" s="13">
        <v>0</v>
      </c>
      <c r="O139" s="13">
        <v>0</v>
      </c>
      <c r="P139" s="13">
        <v>0</v>
      </c>
      <c r="Q139" s="13">
        <v>0</v>
      </c>
      <c r="R139" s="13">
        <f t="shared" si="29"/>
        <v>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77">
        <v>49</v>
      </c>
      <c r="C141" s="77"/>
      <c r="D141" s="77" t="s">
        <v>124</v>
      </c>
      <c r="E141" s="78">
        <f>E142+E143+E144+E145+E146+E147+E148+E149</f>
        <v>147151.79999999999</v>
      </c>
      <c r="F141" s="78">
        <f t="shared" ref="F141:R141" si="30">F142+F143+F144+F145+F146+F147+F148+F149</f>
        <v>0</v>
      </c>
      <c r="G141" s="78">
        <f t="shared" si="30"/>
        <v>3000</v>
      </c>
      <c r="H141" s="78">
        <f t="shared" si="30"/>
        <v>0</v>
      </c>
      <c r="I141" s="78">
        <f t="shared" si="30"/>
        <v>0</v>
      </c>
      <c r="J141" s="78">
        <f t="shared" si="30"/>
        <v>0</v>
      </c>
      <c r="K141" s="78">
        <f t="shared" si="30"/>
        <v>0</v>
      </c>
      <c r="L141" s="78">
        <f t="shared" si="30"/>
        <v>1571.6</v>
      </c>
      <c r="M141" s="78">
        <f t="shared" si="30"/>
        <v>0</v>
      </c>
      <c r="N141" s="78">
        <f t="shared" si="30"/>
        <v>0</v>
      </c>
      <c r="O141" s="78">
        <f t="shared" si="30"/>
        <v>0</v>
      </c>
      <c r="P141" s="78">
        <f t="shared" si="30"/>
        <v>0</v>
      </c>
      <c r="Q141" s="78">
        <f t="shared" si="30"/>
        <v>0</v>
      </c>
      <c r="R141" s="78">
        <f t="shared" si="30"/>
        <v>151723.40000000002</v>
      </c>
      <c r="S141" s="8">
        <v>138</v>
      </c>
    </row>
    <row r="142" spans="2:19" x14ac:dyDescent="0.2">
      <c r="C142" s="8">
        <v>490</v>
      </c>
      <c r="D142" s="8" t="s">
        <v>125</v>
      </c>
      <c r="E142" s="13">
        <v>64432.45</v>
      </c>
      <c r="F142" s="13">
        <v>0</v>
      </c>
      <c r="G142" s="13">
        <v>0</v>
      </c>
      <c r="H142" s="13">
        <v>0</v>
      </c>
      <c r="I142" s="13">
        <v>0</v>
      </c>
      <c r="J142" s="13">
        <v>0</v>
      </c>
      <c r="K142" s="13">
        <v>0</v>
      </c>
      <c r="L142" s="13">
        <v>0</v>
      </c>
      <c r="M142" s="13">
        <v>0</v>
      </c>
      <c r="N142" s="13">
        <v>0</v>
      </c>
      <c r="O142" s="13">
        <v>0</v>
      </c>
      <c r="P142" s="13">
        <v>0</v>
      </c>
      <c r="Q142" s="13">
        <v>0</v>
      </c>
      <c r="R142" s="13">
        <f t="shared" ref="R142:R149" si="31">SUM(E142:Q142)</f>
        <v>64432.45</v>
      </c>
      <c r="S142" s="8">
        <v>139</v>
      </c>
    </row>
    <row r="143" spans="2:19" x14ac:dyDescent="0.2">
      <c r="C143" s="8">
        <v>491</v>
      </c>
      <c r="D143" s="8" t="s">
        <v>126</v>
      </c>
      <c r="E143" s="13">
        <v>82719.350000000006</v>
      </c>
      <c r="F143" s="13">
        <v>0</v>
      </c>
      <c r="G143" s="13">
        <v>3000</v>
      </c>
      <c r="H143" s="13">
        <v>0</v>
      </c>
      <c r="I143" s="13">
        <v>0</v>
      </c>
      <c r="J143" s="13">
        <v>0</v>
      </c>
      <c r="K143" s="13">
        <v>0</v>
      </c>
      <c r="L143" s="13">
        <v>1571.6</v>
      </c>
      <c r="M143" s="13">
        <v>0</v>
      </c>
      <c r="N143" s="13">
        <v>0</v>
      </c>
      <c r="O143" s="13">
        <v>0</v>
      </c>
      <c r="P143" s="13">
        <v>0</v>
      </c>
      <c r="Q143" s="13">
        <v>0</v>
      </c>
      <c r="R143" s="13">
        <f t="shared" si="31"/>
        <v>87290.950000000012</v>
      </c>
      <c r="S143" s="8">
        <v>140</v>
      </c>
    </row>
    <row r="144" spans="2:19"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79">
        <v>9</v>
      </c>
      <c r="B153" s="79"/>
      <c r="C153" s="79"/>
      <c r="D153" s="79" t="s">
        <v>190</v>
      </c>
      <c r="E153" s="80"/>
      <c r="F153" s="80"/>
      <c r="G153" s="80"/>
      <c r="H153" s="80"/>
      <c r="I153" s="80"/>
      <c r="J153" s="80"/>
      <c r="K153" s="80"/>
      <c r="L153" s="80"/>
      <c r="M153" s="80"/>
      <c r="N153" s="80"/>
      <c r="O153" s="80"/>
      <c r="P153" s="80"/>
      <c r="Q153" s="80"/>
      <c r="R153" s="80"/>
      <c r="S153" s="8">
        <v>150</v>
      </c>
    </row>
    <row r="154" spans="1:19" ht="15" x14ac:dyDescent="0.25">
      <c r="A154" s="79"/>
      <c r="B154" s="79">
        <v>90</v>
      </c>
      <c r="C154" s="79"/>
      <c r="D154" s="79" t="s">
        <v>191</v>
      </c>
      <c r="E154" s="81">
        <f>E155+E156</f>
        <v>54258.46</v>
      </c>
      <c r="F154" s="81">
        <f t="shared" ref="F154:R154" si="32">F155+F156</f>
        <v>6007.73</v>
      </c>
      <c r="G154" s="81">
        <f t="shared" si="32"/>
        <v>31556.67</v>
      </c>
      <c r="H154" s="81">
        <f t="shared" si="32"/>
        <v>-5483.52</v>
      </c>
      <c r="I154" s="81">
        <f t="shared" si="32"/>
        <v>-47328.88</v>
      </c>
      <c r="J154" s="81">
        <f t="shared" si="32"/>
        <v>1575.32</v>
      </c>
      <c r="K154" s="81">
        <f t="shared" si="32"/>
        <v>28907.11</v>
      </c>
      <c r="L154" s="81">
        <f t="shared" si="32"/>
        <v>5910.6</v>
      </c>
      <c r="M154" s="81">
        <f t="shared" si="32"/>
        <v>4411.07</v>
      </c>
      <c r="N154" s="81">
        <f t="shared" si="32"/>
        <v>-21669.08</v>
      </c>
      <c r="O154" s="81">
        <f t="shared" si="32"/>
        <v>-17871.05</v>
      </c>
      <c r="P154" s="81">
        <f t="shared" si="32"/>
        <v>-27873.5</v>
      </c>
      <c r="Q154" s="81">
        <f t="shared" si="32"/>
        <v>12482.21</v>
      </c>
      <c r="R154" s="81">
        <f t="shared" si="32"/>
        <v>24883.139999999992</v>
      </c>
      <c r="S154" s="8">
        <v>151</v>
      </c>
    </row>
    <row r="155" spans="1:19" x14ac:dyDescent="0.2">
      <c r="C155" s="8">
        <v>900</v>
      </c>
      <c r="D155" s="8" t="s">
        <v>192</v>
      </c>
      <c r="E155" s="13">
        <v>54258.46</v>
      </c>
      <c r="F155" s="13">
        <v>6007.73</v>
      </c>
      <c r="G155" s="13">
        <v>31556.67</v>
      </c>
      <c r="H155" s="13">
        <v>-5483.52</v>
      </c>
      <c r="I155" s="13">
        <v>-47328.88</v>
      </c>
      <c r="J155" s="13">
        <v>1575.32</v>
      </c>
      <c r="K155" s="13">
        <v>28907.11</v>
      </c>
      <c r="L155" s="13">
        <v>5910.6</v>
      </c>
      <c r="M155" s="13">
        <v>4411.07</v>
      </c>
      <c r="N155" s="13">
        <v>-21669.08</v>
      </c>
      <c r="O155" s="13">
        <v>-17871.05</v>
      </c>
      <c r="P155" s="13">
        <v>-27873.5</v>
      </c>
      <c r="Q155" s="13">
        <v>12482.21</v>
      </c>
      <c r="R155" s="13">
        <f>SUM(E155:Q155)</f>
        <v>24883.139999999992</v>
      </c>
      <c r="S155" s="8">
        <v>152</v>
      </c>
    </row>
    <row r="156" spans="1:19" x14ac:dyDescent="0.2">
      <c r="C156" s="8">
        <v>901</v>
      </c>
      <c r="D156" s="8" t="s">
        <v>193</v>
      </c>
      <c r="E156" s="13">
        <v>0</v>
      </c>
      <c r="F156" s="13">
        <v>0</v>
      </c>
      <c r="G156" s="13">
        <v>0</v>
      </c>
      <c r="H156" s="13">
        <v>0</v>
      </c>
      <c r="I156" s="13">
        <v>0</v>
      </c>
      <c r="J156" s="13">
        <v>0</v>
      </c>
      <c r="K156" s="13">
        <v>0</v>
      </c>
      <c r="L156" s="13">
        <v>0</v>
      </c>
      <c r="M156" s="13">
        <v>0</v>
      </c>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194</v>
      </c>
      <c r="E158" s="84">
        <f>E155+E156</f>
        <v>54258.46</v>
      </c>
      <c r="F158" s="84">
        <f t="shared" ref="F158:R158" si="33">F155+F156</f>
        <v>6007.73</v>
      </c>
      <c r="G158" s="84">
        <f t="shared" si="33"/>
        <v>31556.67</v>
      </c>
      <c r="H158" s="84">
        <f t="shared" si="33"/>
        <v>-5483.52</v>
      </c>
      <c r="I158" s="84">
        <f t="shared" si="33"/>
        <v>-47328.88</v>
      </c>
      <c r="J158" s="84">
        <f t="shared" si="33"/>
        <v>1575.32</v>
      </c>
      <c r="K158" s="84">
        <f t="shared" si="33"/>
        <v>28907.11</v>
      </c>
      <c r="L158" s="84">
        <f t="shared" si="33"/>
        <v>5910.6</v>
      </c>
      <c r="M158" s="84">
        <f t="shared" si="33"/>
        <v>4411.07</v>
      </c>
      <c r="N158" s="84">
        <f t="shared" si="33"/>
        <v>-21669.08</v>
      </c>
      <c r="O158" s="84">
        <f t="shared" si="33"/>
        <v>-17871.05</v>
      </c>
      <c r="P158" s="84">
        <f t="shared" si="33"/>
        <v>-27873.5</v>
      </c>
      <c r="Q158" s="84">
        <f t="shared" si="33"/>
        <v>12482.21</v>
      </c>
      <c r="R158" s="84">
        <f t="shared" si="33"/>
        <v>24883.139999999992</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3"/>
      <c r="E160" s="84">
        <f t="shared" ref="E160:R160" si="34">E76-E5</f>
        <v>54258.460000000196</v>
      </c>
      <c r="F160" s="84">
        <f t="shared" si="34"/>
        <v>6007.7300000000105</v>
      </c>
      <c r="G160" s="84">
        <f t="shared" si="34"/>
        <v>31556.670000000013</v>
      </c>
      <c r="H160" s="84">
        <f t="shared" si="34"/>
        <v>-5483.5200000000041</v>
      </c>
      <c r="I160" s="84">
        <f t="shared" si="34"/>
        <v>-47328.880000000005</v>
      </c>
      <c r="J160" s="84">
        <f t="shared" si="34"/>
        <v>1575.3199999998324</v>
      </c>
      <c r="K160" s="84">
        <f t="shared" si="34"/>
        <v>28907.110000000015</v>
      </c>
      <c r="L160" s="84">
        <f t="shared" si="34"/>
        <v>5910.6000000000349</v>
      </c>
      <c r="M160" s="84">
        <f t="shared" si="34"/>
        <v>4411.07</v>
      </c>
      <c r="N160" s="84">
        <f t="shared" si="34"/>
        <v>-21669.079999999987</v>
      </c>
      <c r="O160" s="84">
        <f t="shared" si="34"/>
        <v>-17871.049999999988</v>
      </c>
      <c r="P160" s="84">
        <f t="shared" si="34"/>
        <v>-27873.5</v>
      </c>
      <c r="Q160" s="84">
        <f t="shared" si="34"/>
        <v>12482.210000000021</v>
      </c>
      <c r="R160" s="84">
        <f t="shared" si="34"/>
        <v>24883.139999998733</v>
      </c>
      <c r="S160" s="8">
        <v>157</v>
      </c>
    </row>
    <row r="161" spans="4:19" ht="15" x14ac:dyDescent="0.25">
      <c r="D161" s="83" t="s">
        <v>67</v>
      </c>
      <c r="E161" s="24">
        <f t="shared" ref="E161:R161" si="35">E158-E160</f>
        <v>-1.964508555829525E-10</v>
      </c>
      <c r="F161" s="24">
        <f t="shared" si="35"/>
        <v>-1.0913936421275139E-11</v>
      </c>
      <c r="G161" s="24">
        <f t="shared" si="35"/>
        <v>0</v>
      </c>
      <c r="H161" s="24">
        <f t="shared" si="35"/>
        <v>0</v>
      </c>
      <c r="I161" s="24">
        <f t="shared" si="35"/>
        <v>0</v>
      </c>
      <c r="J161" s="24">
        <f t="shared" si="35"/>
        <v>1.6757439880166203E-10</v>
      </c>
      <c r="K161" s="24">
        <f t="shared" si="35"/>
        <v>0</v>
      </c>
      <c r="L161" s="24">
        <f t="shared" si="35"/>
        <v>-3.4560798667371273E-11</v>
      </c>
      <c r="M161" s="24">
        <f t="shared" si="35"/>
        <v>0</v>
      </c>
      <c r="N161" s="24">
        <f t="shared" si="35"/>
        <v>0</v>
      </c>
      <c r="O161" s="24">
        <f t="shared" si="35"/>
        <v>0</v>
      </c>
      <c r="P161" s="24">
        <f t="shared" si="35"/>
        <v>0</v>
      </c>
      <c r="Q161" s="24">
        <f t="shared" si="35"/>
        <v>-2.1827872842550278E-11</v>
      </c>
      <c r="R161" s="24">
        <f t="shared" si="35"/>
        <v>1.2587406672537327E-9</v>
      </c>
      <c r="S161" s="8">
        <v>158</v>
      </c>
    </row>
    <row r="162" spans="4:19" x14ac:dyDescent="0.2">
      <c r="M162" s="13"/>
      <c r="S162" s="8">
        <v>159</v>
      </c>
    </row>
    <row r="163" spans="4:19" ht="15" x14ac:dyDescent="0.25">
      <c r="D163" s="83" t="s">
        <v>233</v>
      </c>
      <c r="E163" s="20">
        <f>E65-E141</f>
        <v>128</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31305</v>
      </c>
      <c r="Q163" s="20">
        <f t="shared" si="36"/>
        <v>0</v>
      </c>
      <c r="R163" s="20">
        <f t="shared" si="36"/>
        <v>31432.999999999971</v>
      </c>
      <c r="S163" s="8">
        <v>160</v>
      </c>
    </row>
    <row r="164" spans="4:19" x14ac:dyDescent="0.2">
      <c r="S164" s="8">
        <v>161</v>
      </c>
    </row>
    <row r="165" spans="4:19" x14ac:dyDescent="0.2">
      <c r="D165" s="8" t="s">
        <v>579</v>
      </c>
      <c r="E165" s="13">
        <f>E6+E16+E28+E40+E44+E54</f>
        <v>811752.34999999986</v>
      </c>
      <c r="F165" s="13">
        <f t="shared" ref="F165:R165" si="37">F6+F16+F28+F40+F44+F54</f>
        <v>79519.959999999992</v>
      </c>
      <c r="G165" s="13">
        <f t="shared" si="37"/>
        <v>122377.63</v>
      </c>
      <c r="H165" s="13">
        <f t="shared" si="37"/>
        <v>78179.060000000012</v>
      </c>
      <c r="I165" s="13">
        <f t="shared" si="37"/>
        <v>235626.91</v>
      </c>
      <c r="J165" s="13">
        <f t="shared" si="37"/>
        <v>1749762.91</v>
      </c>
      <c r="K165" s="13">
        <f t="shared" si="37"/>
        <v>79230.989999999991</v>
      </c>
      <c r="L165" s="13">
        <f t="shared" si="37"/>
        <v>164987.37999999998</v>
      </c>
      <c r="M165" s="13">
        <f t="shared" si="37"/>
        <v>20750.689999999999</v>
      </c>
      <c r="N165" s="13">
        <f t="shared" si="37"/>
        <v>120790.75</v>
      </c>
      <c r="O165" s="13">
        <f t="shared" si="37"/>
        <v>201677.18</v>
      </c>
      <c r="P165" s="13">
        <f t="shared" si="37"/>
        <v>168662.41999999998</v>
      </c>
      <c r="Q165" s="13">
        <f t="shared" si="37"/>
        <v>401353.25</v>
      </c>
      <c r="R165" s="13">
        <f t="shared" si="37"/>
        <v>4234671.4800000004</v>
      </c>
      <c r="S165" s="8">
        <v>162</v>
      </c>
    </row>
    <row r="166" spans="4:19" x14ac:dyDescent="0.2">
      <c r="D166" s="8" t="s">
        <v>580</v>
      </c>
      <c r="E166" s="13">
        <f>E77+E83+E89+E100+E118+E122+E129</f>
        <v>601773.11</v>
      </c>
      <c r="F166" s="13">
        <f t="shared" ref="F166:R166" si="38">F77+F83+F89+F100+F118+F122+F129</f>
        <v>44071.5</v>
      </c>
      <c r="G166" s="13">
        <f t="shared" si="38"/>
        <v>132658.03</v>
      </c>
      <c r="H166" s="13">
        <f t="shared" si="38"/>
        <v>31072.940000000002</v>
      </c>
      <c r="I166" s="13">
        <f t="shared" si="38"/>
        <v>138954.4</v>
      </c>
      <c r="J166" s="13">
        <f t="shared" si="38"/>
        <v>616285.88</v>
      </c>
      <c r="K166" s="13">
        <f t="shared" si="38"/>
        <v>90612</v>
      </c>
      <c r="L166" s="13">
        <f t="shared" si="38"/>
        <v>154328.53000000003</v>
      </c>
      <c r="M166" s="13">
        <f t="shared" si="38"/>
        <v>19354.650000000001</v>
      </c>
      <c r="N166" s="13">
        <f t="shared" si="38"/>
        <v>93816.3</v>
      </c>
      <c r="O166" s="13">
        <f t="shared" si="38"/>
        <v>69320.75</v>
      </c>
      <c r="P166" s="13">
        <f t="shared" si="38"/>
        <v>84468.099999999991</v>
      </c>
      <c r="Q166" s="13">
        <f t="shared" si="38"/>
        <v>388970.51</v>
      </c>
      <c r="R166" s="13">
        <f t="shared" si="38"/>
        <v>2465686.6999999997</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2" t="s">
        <v>851</v>
      </c>
      <c r="B2" s="7"/>
      <c r="C2" s="7"/>
      <c r="D2" s="7"/>
    </row>
    <row r="4" spans="1:5" ht="15" thickBot="1" x14ac:dyDescent="0.25">
      <c r="D4" s="86" t="s">
        <v>736</v>
      </c>
    </row>
    <row r="5" spans="1:5" ht="15.75" thickBot="1" x14ac:dyDescent="0.3">
      <c r="A5" s="8" t="s">
        <v>727</v>
      </c>
      <c r="D5" s="92" t="s">
        <v>64</v>
      </c>
    </row>
    <row r="7" spans="1:5" ht="15" x14ac:dyDescent="0.25">
      <c r="E7" s="30" t="s">
        <v>198</v>
      </c>
    </row>
    <row r="8" spans="1:5" ht="20.25" x14ac:dyDescent="0.3">
      <c r="A8" s="11">
        <v>3</v>
      </c>
      <c r="B8" s="11"/>
      <c r="C8" s="11"/>
      <c r="D8" s="11" t="s">
        <v>59</v>
      </c>
      <c r="E8" s="93">
        <f>HLOOKUP($D$5,'Bourgeoisies Comptes 2023'!$E$4:$R$166,2,0)</f>
        <v>4811256.120000001</v>
      </c>
    </row>
    <row r="9" spans="1:5" ht="15" x14ac:dyDescent="0.25">
      <c r="A9" s="75"/>
      <c r="B9" s="75">
        <v>30</v>
      </c>
      <c r="C9" s="75"/>
      <c r="D9" s="75" t="s">
        <v>60</v>
      </c>
      <c r="E9" s="76">
        <f>HLOOKUP($D$5,'Bourgeoisies Comptes 2023'!$E$4:$R$166,3,0)</f>
        <v>898567.8</v>
      </c>
    </row>
    <row r="10" spans="1:5" x14ac:dyDescent="0.2">
      <c r="C10" s="8">
        <v>300</v>
      </c>
      <c r="D10" s="8" t="s">
        <v>77</v>
      </c>
      <c r="E10" s="18">
        <f>HLOOKUP($D$5,'Bourgeoisies Comptes 2023'!$E$4:$R$166,4,0)</f>
        <v>193900.80000000002</v>
      </c>
    </row>
    <row r="11" spans="1:5" x14ac:dyDescent="0.2">
      <c r="C11" s="8">
        <v>301</v>
      </c>
      <c r="D11" s="8" t="s">
        <v>78</v>
      </c>
      <c r="E11" s="18">
        <f>HLOOKUP($D$5,'Bourgeoisies Comptes 2023'!$E$4:$R$166,5,0)</f>
        <v>510765.9</v>
      </c>
    </row>
    <row r="12" spans="1:5" x14ac:dyDescent="0.2">
      <c r="C12" s="8">
        <v>302</v>
      </c>
      <c r="D12" s="8" t="s">
        <v>79</v>
      </c>
      <c r="E12" s="18">
        <f>HLOOKUP($D$5,'Bourgeoisies Comptes 2023'!$E$4:$R$166,6,0)</f>
        <v>0</v>
      </c>
    </row>
    <row r="13" spans="1:5" x14ac:dyDescent="0.2">
      <c r="C13" s="8">
        <v>303</v>
      </c>
      <c r="D13" s="8" t="s">
        <v>80</v>
      </c>
      <c r="E13" s="18">
        <f>HLOOKUP($D$5,'Bourgeoisies Comptes 2023'!$E$4:$R$166,7,0)</f>
        <v>0</v>
      </c>
    </row>
    <row r="14" spans="1:5" x14ac:dyDescent="0.2">
      <c r="C14" s="8">
        <v>304</v>
      </c>
      <c r="D14" s="8" t="s">
        <v>572</v>
      </c>
      <c r="E14" s="18">
        <f>HLOOKUP($D$5,'Bourgeoisies Comptes 2023'!$E$4:$R$166,8,0)</f>
        <v>11618.2</v>
      </c>
    </row>
    <row r="15" spans="1:5" x14ac:dyDescent="0.2">
      <c r="C15" s="8">
        <v>305</v>
      </c>
      <c r="D15" s="8" t="s">
        <v>81</v>
      </c>
      <c r="E15" s="18">
        <f>HLOOKUP($D$5,'Bourgeoisies Comptes 2023'!$E$4:$R$166,9,0)</f>
        <v>138975.20000000001</v>
      </c>
    </row>
    <row r="16" spans="1:5" x14ac:dyDescent="0.2">
      <c r="C16" s="8">
        <v>306</v>
      </c>
      <c r="D16" s="8" t="s">
        <v>82</v>
      </c>
      <c r="E16" s="18">
        <f>HLOOKUP($D$5,'Bourgeoisies Comptes 2023'!$E$4:$R$166,10,0)</f>
        <v>0</v>
      </c>
    </row>
    <row r="17" spans="2:5" x14ac:dyDescent="0.2">
      <c r="C17" s="8">
        <v>309</v>
      </c>
      <c r="D17" s="8" t="s">
        <v>83</v>
      </c>
      <c r="E17" s="18">
        <f>HLOOKUP($D$5,'Bourgeoisies Comptes 2023'!$E$4:$R$166,11,0)</f>
        <v>43307.700000000004</v>
      </c>
    </row>
    <row r="18" spans="2:5" x14ac:dyDescent="0.2">
      <c r="E18" s="13"/>
    </row>
    <row r="19" spans="2:5" ht="15" x14ac:dyDescent="0.25">
      <c r="B19" s="75">
        <v>31</v>
      </c>
      <c r="C19" s="75"/>
      <c r="D19" s="75" t="s">
        <v>84</v>
      </c>
      <c r="E19" s="76">
        <f>SUM(E20:E29)</f>
        <v>2113919.9300000002</v>
      </c>
    </row>
    <row r="20" spans="2:5" x14ac:dyDescent="0.2">
      <c r="C20" s="8">
        <v>310</v>
      </c>
      <c r="D20" s="8" t="s">
        <v>85</v>
      </c>
      <c r="E20" s="18">
        <f>HLOOKUP($D$5,'Bourgeoisies Comptes 2023'!$E$4:$R$166,14,0)</f>
        <v>79737.150000000009</v>
      </c>
    </row>
    <row r="21" spans="2:5" x14ac:dyDescent="0.2">
      <c r="C21" s="8">
        <v>311</v>
      </c>
      <c r="D21" s="8" t="s">
        <v>446</v>
      </c>
      <c r="E21" s="18">
        <f>HLOOKUP($D$5,'Bourgeoisies Comptes 2023'!$E$4:$R$166,15,0)</f>
        <v>10243.550000000001</v>
      </c>
    </row>
    <row r="22" spans="2:5" x14ac:dyDescent="0.2">
      <c r="C22" s="8">
        <v>312</v>
      </c>
      <c r="D22" s="8" t="s">
        <v>87</v>
      </c>
      <c r="E22" s="18">
        <f>HLOOKUP($D$5,'Bourgeoisies Comptes 2023'!$E$4:$R$166,16,0)</f>
        <v>240874.00000000003</v>
      </c>
    </row>
    <row r="23" spans="2:5" x14ac:dyDescent="0.2">
      <c r="C23" s="8">
        <v>313</v>
      </c>
      <c r="D23" s="8" t="s">
        <v>88</v>
      </c>
      <c r="E23" s="18">
        <f>HLOOKUP($D$5,'Bourgeoisies Comptes 2023'!$E$4:$R$166,17,0)</f>
        <v>1138552.0900000001</v>
      </c>
    </row>
    <row r="24" spans="2:5" x14ac:dyDescent="0.2">
      <c r="C24" s="8">
        <v>314</v>
      </c>
      <c r="D24" s="8" t="s">
        <v>814</v>
      </c>
      <c r="E24" s="18">
        <f>HLOOKUP($D$5,'Bourgeoisies Comptes 2023'!$E$4:$R$166,18,0)</f>
        <v>527789.46000000008</v>
      </c>
    </row>
    <row r="25" spans="2:5" x14ac:dyDescent="0.2">
      <c r="C25" s="8">
        <v>315</v>
      </c>
      <c r="D25" s="8" t="s">
        <v>89</v>
      </c>
      <c r="E25" s="18">
        <f>HLOOKUP($D$5,'Bourgeoisies Comptes 2023'!$E$4:$R$166,19,0)</f>
        <v>33416.85</v>
      </c>
    </row>
    <row r="26" spans="2:5" x14ac:dyDescent="0.2">
      <c r="C26" s="8">
        <v>316</v>
      </c>
      <c r="D26" s="8" t="s">
        <v>90</v>
      </c>
      <c r="E26" s="18">
        <f>HLOOKUP($D$5,'Bourgeoisies Comptes 2023'!$E$4:$R$166,20,0)</f>
        <v>9022.5499999999993</v>
      </c>
    </row>
    <row r="27" spans="2:5" x14ac:dyDescent="0.2">
      <c r="C27" s="8">
        <v>317</v>
      </c>
      <c r="D27" s="8" t="s">
        <v>91</v>
      </c>
      <c r="E27" s="18">
        <f>HLOOKUP($D$5,'Bourgeoisies Comptes 2023'!$E$4:$R$166,21,0)</f>
        <v>24685.600000000002</v>
      </c>
    </row>
    <row r="28" spans="2:5" x14ac:dyDescent="0.2">
      <c r="C28" s="8">
        <v>318</v>
      </c>
      <c r="D28" s="8" t="s">
        <v>92</v>
      </c>
      <c r="E28" s="18">
        <f>HLOOKUP($D$5,'Bourgeoisies Comptes 2023'!$E$4:$R$166,22,0)</f>
        <v>11000</v>
      </c>
    </row>
    <row r="29" spans="2:5" x14ac:dyDescent="0.2">
      <c r="C29" s="8">
        <v>319</v>
      </c>
      <c r="D29" s="8" t="s">
        <v>93</v>
      </c>
      <c r="E29" s="18">
        <f>HLOOKUP($D$5,'Bourgeoisies Comptes 2023'!$E$4:$R$166,23,0)</f>
        <v>38598.680000000008</v>
      </c>
    </row>
    <row r="30" spans="2:5" x14ac:dyDescent="0.2">
      <c r="E30" s="13"/>
    </row>
    <row r="31" spans="2:5" ht="15" x14ac:dyDescent="0.25">
      <c r="B31" s="75">
        <v>33</v>
      </c>
      <c r="C31" s="75"/>
      <c r="D31" s="75" t="s">
        <v>94</v>
      </c>
      <c r="E31" s="76">
        <f>SUM(E32:E33)</f>
        <v>381518.5</v>
      </c>
    </row>
    <row r="32" spans="2:5" x14ac:dyDescent="0.2">
      <c r="C32" s="8">
        <v>330</v>
      </c>
      <c r="D32" s="8" t="s">
        <v>96</v>
      </c>
      <c r="E32" s="18">
        <f>HLOOKUP($D$5,'Bourgeoisies Comptes 2023'!$E$4:$R$166,26,0)</f>
        <v>381518.5</v>
      </c>
    </row>
    <row r="33" spans="2:5" x14ac:dyDescent="0.2">
      <c r="C33" s="8">
        <v>332</v>
      </c>
      <c r="D33" s="8" t="s">
        <v>95</v>
      </c>
      <c r="E33" s="18">
        <f>HLOOKUP($D$5,'Bourgeoisies Comptes 2023'!$E$4:$R$166,27,0)</f>
        <v>0</v>
      </c>
    </row>
    <row r="34" spans="2:5" x14ac:dyDescent="0.2">
      <c r="E34" s="13"/>
    </row>
    <row r="35" spans="2:5" ht="15" x14ac:dyDescent="0.25">
      <c r="B35" s="75">
        <v>34</v>
      </c>
      <c r="C35" s="75"/>
      <c r="D35" s="75" t="s">
        <v>97</v>
      </c>
      <c r="E35" s="76">
        <f>SUM(E36:E41)</f>
        <v>392021.54999999993</v>
      </c>
    </row>
    <row r="36" spans="2:5" x14ac:dyDescent="0.2">
      <c r="C36" s="8">
        <v>340</v>
      </c>
      <c r="D36" s="8" t="s">
        <v>98</v>
      </c>
      <c r="E36" s="18">
        <f>HLOOKUP($D$5,'Bourgeoisies Comptes 2023'!$E$4:$R$166,30,0)</f>
        <v>110693.98999999999</v>
      </c>
    </row>
    <row r="37" spans="2:5" x14ac:dyDescent="0.2">
      <c r="C37" s="8">
        <v>341</v>
      </c>
      <c r="D37" s="8" t="s">
        <v>99</v>
      </c>
      <c r="E37" s="18">
        <f>HLOOKUP($D$5,'Bourgeoisies Comptes 2023'!$E$4:$R$166,31,0)</f>
        <v>0</v>
      </c>
    </row>
    <row r="38" spans="2:5" x14ac:dyDescent="0.2">
      <c r="C38" s="8">
        <v>342</v>
      </c>
      <c r="D38" s="8" t="s">
        <v>100</v>
      </c>
      <c r="E38" s="18">
        <f>HLOOKUP($D$5,'Bourgeoisies Comptes 2023'!$E$4:$R$166,32,0)</f>
        <v>0</v>
      </c>
    </row>
    <row r="39" spans="2:5" x14ac:dyDescent="0.2">
      <c r="C39" s="8">
        <v>343</v>
      </c>
      <c r="D39" s="8" t="s">
        <v>101</v>
      </c>
      <c r="E39" s="18">
        <f>HLOOKUP($D$5,'Bourgeoisies Comptes 2023'!$E$4:$R$166,33,0)</f>
        <v>257441.72</v>
      </c>
    </row>
    <row r="40" spans="2:5" x14ac:dyDescent="0.2">
      <c r="C40" s="8">
        <v>344</v>
      </c>
      <c r="D40" s="8" t="s">
        <v>102</v>
      </c>
      <c r="E40" s="18">
        <f>HLOOKUP($D$5,'Bourgeoisies Comptes 2023'!$E$4:$R$166,34,0)</f>
        <v>9006.48</v>
      </c>
    </row>
    <row r="41" spans="2:5" x14ac:dyDescent="0.2">
      <c r="C41" s="8">
        <v>349</v>
      </c>
      <c r="D41" s="8" t="s">
        <v>103</v>
      </c>
      <c r="E41" s="18">
        <f>HLOOKUP($D$5,'Bourgeoisies Comptes 2023'!$E$4:$R$166,35,0)</f>
        <v>14879.359999999999</v>
      </c>
    </row>
    <row r="42" spans="2:5" x14ac:dyDescent="0.2">
      <c r="E42" s="13"/>
    </row>
    <row r="43" spans="2:5" ht="15" x14ac:dyDescent="0.25">
      <c r="B43" s="75">
        <v>35</v>
      </c>
      <c r="C43" s="75"/>
      <c r="D43" s="75" t="s">
        <v>105</v>
      </c>
      <c r="E43" s="76">
        <f>SUM(E44:E45)</f>
        <v>326878.8</v>
      </c>
    </row>
    <row r="44" spans="2:5" x14ac:dyDescent="0.2">
      <c r="C44" s="8">
        <v>350</v>
      </c>
      <c r="D44" s="8" t="s">
        <v>105</v>
      </c>
      <c r="E44" s="18">
        <f>HLOOKUP($D$5,'Bourgeoisies Comptes 2023'!$E$4:$R$166,38,0)</f>
        <v>0</v>
      </c>
    </row>
    <row r="45" spans="2:5" x14ac:dyDescent="0.2">
      <c r="C45" s="8">
        <v>351</v>
      </c>
      <c r="D45" s="8" t="s">
        <v>104</v>
      </c>
      <c r="E45" s="18">
        <f>HLOOKUP($D$5,'Bourgeoisies Comptes 2023'!$E$4:$R$166,39,0)</f>
        <v>326878.8</v>
      </c>
    </row>
    <row r="46" spans="2:5" x14ac:dyDescent="0.2">
      <c r="E46" s="13"/>
    </row>
    <row r="47" spans="2:5" ht="15" x14ac:dyDescent="0.25">
      <c r="B47" s="75">
        <v>36</v>
      </c>
      <c r="C47" s="75"/>
      <c r="D47" s="75" t="s">
        <v>106</v>
      </c>
      <c r="E47" s="76">
        <f>SUM(E48:E55)</f>
        <v>291339.7</v>
      </c>
    </row>
    <row r="48" spans="2:5" x14ac:dyDescent="0.2">
      <c r="C48" s="8">
        <v>360</v>
      </c>
      <c r="D48" s="8" t="s">
        <v>107</v>
      </c>
      <c r="E48" s="18">
        <f>HLOOKUP($D$5,'Bourgeoisies Comptes 2023'!$E$4:$R$166,42,0)</f>
        <v>5024.7</v>
      </c>
    </row>
    <row r="49" spans="2:5" x14ac:dyDescent="0.2">
      <c r="C49" s="8">
        <v>361</v>
      </c>
      <c r="D49" s="8" t="s">
        <v>108</v>
      </c>
      <c r="E49" s="18">
        <f>HLOOKUP($D$5,'Bourgeoisies Comptes 2023'!$E$4:$R$166,43,0)</f>
        <v>27909.030000000002</v>
      </c>
    </row>
    <row r="50" spans="2:5" x14ac:dyDescent="0.2">
      <c r="C50" s="8">
        <v>362</v>
      </c>
      <c r="D50" s="8" t="s">
        <v>109</v>
      </c>
      <c r="E50" s="18">
        <f>HLOOKUP($D$5,'Bourgeoisies Comptes 2023'!$E$4:$R$166,44,0)</f>
        <v>0</v>
      </c>
    </row>
    <row r="51" spans="2:5" x14ac:dyDescent="0.2">
      <c r="C51" s="8">
        <v>363</v>
      </c>
      <c r="D51" s="8" t="s">
        <v>110</v>
      </c>
      <c r="E51" s="18">
        <f>HLOOKUP($D$5,'Bourgeoisies Comptes 2023'!$E$4:$R$166,45,0)</f>
        <v>258405.97</v>
      </c>
    </row>
    <row r="52" spans="2:5" x14ac:dyDescent="0.2">
      <c r="C52" s="8">
        <v>364</v>
      </c>
      <c r="D52" s="8" t="s">
        <v>111</v>
      </c>
      <c r="E52" s="18">
        <f>HLOOKUP($D$5,'Bourgeoisies Comptes 2023'!$E$4:$R$166,46,0)</f>
        <v>0</v>
      </c>
    </row>
    <row r="53" spans="2:5" x14ac:dyDescent="0.2">
      <c r="C53" s="8">
        <v>365</v>
      </c>
      <c r="D53" s="8" t="s">
        <v>112</v>
      </c>
      <c r="E53" s="18">
        <f>HLOOKUP($D$5,'Bourgeoisies Comptes 2023'!$E$4:$R$166,47,0)</f>
        <v>0</v>
      </c>
    </row>
    <row r="54" spans="2:5" x14ac:dyDescent="0.2">
      <c r="C54" s="8">
        <v>366</v>
      </c>
      <c r="D54" s="8" t="s">
        <v>113</v>
      </c>
      <c r="E54" s="18">
        <f>HLOOKUP($D$5,'Bourgeoisies Comptes 2023'!$E$4:$R$166,48,0)</f>
        <v>0</v>
      </c>
    </row>
    <row r="55" spans="2:5" x14ac:dyDescent="0.2">
      <c r="C55" s="8">
        <v>369</v>
      </c>
      <c r="D55" s="8" t="s">
        <v>114</v>
      </c>
      <c r="E55" s="18">
        <f>HLOOKUP($D$5,'Bourgeoisies Comptes 2023'!$E$4:$R$166,49,0)</f>
        <v>0</v>
      </c>
    </row>
    <row r="56" spans="2:5" x14ac:dyDescent="0.2">
      <c r="E56" s="13"/>
    </row>
    <row r="57" spans="2:5" ht="15" x14ac:dyDescent="0.25">
      <c r="B57" s="75">
        <v>37</v>
      </c>
      <c r="C57" s="75"/>
      <c r="D57" s="75" t="s">
        <v>115</v>
      </c>
      <c r="E57" s="76">
        <f>SUM(E58)</f>
        <v>222446.75</v>
      </c>
    </row>
    <row r="58" spans="2:5" x14ac:dyDescent="0.2">
      <c r="C58" s="8">
        <v>370</v>
      </c>
      <c r="D58" s="8" t="s">
        <v>116</v>
      </c>
      <c r="E58" s="18">
        <f>HLOOKUP($D$5,'Bourgeoisies Comptes 2023'!$E$4:$R$166,52,0)</f>
        <v>222446.75</v>
      </c>
    </row>
    <row r="59" spans="2:5" x14ac:dyDescent="0.2">
      <c r="E59" s="13"/>
    </row>
    <row r="60" spans="2:5" ht="15" x14ac:dyDescent="0.25">
      <c r="B60" s="75">
        <v>38</v>
      </c>
      <c r="C60" s="75"/>
      <c r="D60" s="75" t="s">
        <v>117</v>
      </c>
      <c r="E60" s="76">
        <f>SUM(E61:E66)</f>
        <v>1406.69</v>
      </c>
    </row>
    <row r="61" spans="2:5" x14ac:dyDescent="0.2">
      <c r="C61" s="8">
        <v>380</v>
      </c>
      <c r="D61" s="8" t="s">
        <v>118</v>
      </c>
      <c r="E61" s="18">
        <f>HLOOKUP($D$5,'Bourgeoisies Comptes 2023'!$E$4:$R$166,55,0)</f>
        <v>0</v>
      </c>
    </row>
    <row r="62" spans="2:5" x14ac:dyDescent="0.2">
      <c r="C62" s="8">
        <v>381</v>
      </c>
      <c r="D62" s="8" t="s">
        <v>119</v>
      </c>
      <c r="E62" s="18">
        <f>HLOOKUP($D$5,'Bourgeoisies Comptes 2023'!$E$4:$R$166,56,0)</f>
        <v>0</v>
      </c>
    </row>
    <row r="63" spans="2:5" x14ac:dyDescent="0.2">
      <c r="C63" s="8">
        <v>384</v>
      </c>
      <c r="D63" s="8" t="s">
        <v>120</v>
      </c>
      <c r="E63" s="18">
        <f>HLOOKUP($D$5,'Bourgeoisies Comptes 2023'!$E$4:$R$166,57,0)</f>
        <v>0</v>
      </c>
    </row>
    <row r="64" spans="2:5" x14ac:dyDescent="0.2">
      <c r="C64" s="8">
        <v>385</v>
      </c>
      <c r="D64" s="8" t="s">
        <v>121</v>
      </c>
      <c r="E64" s="18">
        <f>HLOOKUP($D$5,'Bourgeoisies Comptes 2023'!$E$4:$R$166,58,0)</f>
        <v>0</v>
      </c>
    </row>
    <row r="65" spans="1:5" x14ac:dyDescent="0.2">
      <c r="C65" s="8">
        <v>386</v>
      </c>
      <c r="D65" s="8" t="s">
        <v>122</v>
      </c>
      <c r="E65" s="18">
        <f>HLOOKUP($D$5,'Bourgeoisies Comptes 2023'!$E$4:$R$166,59,0)</f>
        <v>0</v>
      </c>
    </row>
    <row r="66" spans="1:5" x14ac:dyDescent="0.2">
      <c r="C66" s="8">
        <v>389</v>
      </c>
      <c r="D66" s="8" t="s">
        <v>286</v>
      </c>
      <c r="E66" s="18">
        <f>HLOOKUP($D$5,'Bourgeoisies Comptes 2023'!$E$4:$R$166,60,0)</f>
        <v>1406.69</v>
      </c>
    </row>
    <row r="67" spans="1:5" x14ac:dyDescent="0.2">
      <c r="E67" s="13"/>
    </row>
    <row r="68" spans="1:5" ht="15" x14ac:dyDescent="0.25">
      <c r="B68" s="75">
        <v>39</v>
      </c>
      <c r="C68" s="75"/>
      <c r="D68" s="75" t="s">
        <v>124</v>
      </c>
      <c r="E68" s="76">
        <f>SUM(E69:E76)</f>
        <v>183156.4</v>
      </c>
    </row>
    <row r="69" spans="1:5" x14ac:dyDescent="0.2">
      <c r="C69" s="8">
        <v>390</v>
      </c>
      <c r="D69" s="8" t="s">
        <v>125</v>
      </c>
      <c r="E69" s="18">
        <f>HLOOKUP($D$5,'Bourgeoisies Comptes 2023'!$E$4:$R$166,63,0)</f>
        <v>19240.8</v>
      </c>
    </row>
    <row r="70" spans="1:5" x14ac:dyDescent="0.2">
      <c r="C70" s="8">
        <v>391</v>
      </c>
      <c r="D70" s="8" t="s">
        <v>126</v>
      </c>
      <c r="E70" s="18">
        <f>HLOOKUP($D$5,'Bourgeoisies Comptes 2023'!$E$4:$R$166,64,0)</f>
        <v>157077.6</v>
      </c>
    </row>
    <row r="71" spans="1:5" x14ac:dyDescent="0.2">
      <c r="C71" s="8">
        <v>392</v>
      </c>
      <c r="D71" s="8" t="s">
        <v>127</v>
      </c>
      <c r="E71" s="18">
        <f>HLOOKUP($D$5,'Bourgeoisies Comptes 2023'!$E$4:$R$166,65,0)</f>
        <v>0</v>
      </c>
    </row>
    <row r="72" spans="1:5" x14ac:dyDescent="0.2">
      <c r="C72" s="8">
        <v>393</v>
      </c>
      <c r="D72" s="8" t="s">
        <v>128</v>
      </c>
      <c r="E72" s="18">
        <f>HLOOKUP($D$5,'Bourgeoisies Comptes 2023'!$E$4:$R$166,66,0)</f>
        <v>6838</v>
      </c>
    </row>
    <row r="73" spans="1:5" x14ac:dyDescent="0.2">
      <c r="C73" s="8">
        <v>394</v>
      </c>
      <c r="D73" s="8" t="s">
        <v>129</v>
      </c>
      <c r="E73" s="18">
        <f>HLOOKUP($D$5,'Bourgeoisies Comptes 2023'!$E$4:$R$166,67,0)</f>
        <v>0</v>
      </c>
    </row>
    <row r="74" spans="1:5" x14ac:dyDescent="0.2">
      <c r="C74" s="8">
        <v>395</v>
      </c>
      <c r="D74" s="8" t="s">
        <v>130</v>
      </c>
      <c r="E74" s="18">
        <f>HLOOKUP($D$5,'Bourgeoisies Comptes 2023'!$E$4:$R$166,68,0)</f>
        <v>0</v>
      </c>
    </row>
    <row r="75" spans="1:5" x14ac:dyDescent="0.2">
      <c r="C75" s="8">
        <v>398</v>
      </c>
      <c r="D75" s="8" t="s">
        <v>131</v>
      </c>
      <c r="E75" s="18">
        <f>HLOOKUP($D$5,'Bourgeoisies Comptes 2023'!$E$4:$R$166,69,0)</f>
        <v>0</v>
      </c>
    </row>
    <row r="76" spans="1:5" x14ac:dyDescent="0.2">
      <c r="C76" s="8">
        <v>399</v>
      </c>
      <c r="D76" s="8" t="s">
        <v>132</v>
      </c>
      <c r="E76" s="18">
        <f>HLOOKUP($D$5,'Bourgeoisies Comptes 2023'!$E$4:$R$166,70,0)</f>
        <v>0</v>
      </c>
    </row>
    <row r="77" spans="1:5" x14ac:dyDescent="0.2">
      <c r="E77" s="13"/>
    </row>
    <row r="78" spans="1:5" x14ac:dyDescent="0.2">
      <c r="E78" s="13"/>
    </row>
    <row r="79" spans="1:5" ht="20.25" x14ac:dyDescent="0.3">
      <c r="A79" s="14">
        <v>4</v>
      </c>
      <c r="B79" s="14"/>
      <c r="C79" s="14"/>
      <c r="D79" s="14" t="s">
        <v>133</v>
      </c>
      <c r="E79" s="94">
        <f>HLOOKUP($D$5,'Bourgeoisies Comptes 2023'!$E$4:$R$166,73,0)</f>
        <v>4836139.26</v>
      </c>
    </row>
    <row r="80" spans="1:5" ht="15" x14ac:dyDescent="0.25">
      <c r="A80" s="7"/>
      <c r="B80" s="77">
        <v>40</v>
      </c>
      <c r="C80" s="77"/>
      <c r="D80" s="77" t="s">
        <v>76</v>
      </c>
      <c r="E80" s="78">
        <f>SUM(E81:E84)</f>
        <v>5075</v>
      </c>
    </row>
    <row r="81" spans="2:5" x14ac:dyDescent="0.2">
      <c r="C81" s="8">
        <v>400</v>
      </c>
      <c r="D81" s="8" t="s">
        <v>134</v>
      </c>
      <c r="E81" s="18">
        <f>HLOOKUP($D$5,'Bourgeoisies Comptes 2023'!$E$4:$R$166,75,0)</f>
        <v>0</v>
      </c>
    </row>
    <row r="82" spans="2:5" x14ac:dyDescent="0.2">
      <c r="C82" s="8">
        <v>401</v>
      </c>
      <c r="D82" s="8" t="s">
        <v>135</v>
      </c>
      <c r="E82" s="18">
        <f>HLOOKUP($D$5,'Bourgeoisies Comptes 2023'!$E$4:$R$166,76,0)</f>
        <v>0</v>
      </c>
    </row>
    <row r="83" spans="2:5" x14ac:dyDescent="0.2">
      <c r="C83" s="8">
        <v>402</v>
      </c>
      <c r="D83" s="8" t="s">
        <v>136</v>
      </c>
      <c r="E83" s="18">
        <f>HLOOKUP($D$5,'Bourgeoisies Comptes 2023'!$E$4:$R$166,77,0)</f>
        <v>5075</v>
      </c>
    </row>
    <row r="84" spans="2:5" x14ac:dyDescent="0.2">
      <c r="C84" s="8">
        <v>403</v>
      </c>
      <c r="D84" s="8" t="s">
        <v>137</v>
      </c>
      <c r="E84" s="18">
        <f>HLOOKUP($D$5,'Bourgeoisies Comptes 2023'!$E$4:$R$166,78,0)</f>
        <v>0</v>
      </c>
    </row>
    <row r="85" spans="2:5" x14ac:dyDescent="0.2">
      <c r="E85" s="13"/>
    </row>
    <row r="86" spans="2:5" ht="15" x14ac:dyDescent="0.25">
      <c r="B86" s="77">
        <v>41</v>
      </c>
      <c r="C86" s="77"/>
      <c r="D86" s="77" t="s">
        <v>138</v>
      </c>
      <c r="E86" s="78">
        <f>SUM(E87:E90)</f>
        <v>8000</v>
      </c>
    </row>
    <row r="87" spans="2:5" x14ac:dyDescent="0.2">
      <c r="C87" s="8">
        <v>410</v>
      </c>
      <c r="D87" s="8" t="s">
        <v>139</v>
      </c>
      <c r="E87" s="18">
        <f>HLOOKUP($D$5,'Bourgeoisies Comptes 2023'!$E$4:$R$166,81,0)</f>
        <v>0</v>
      </c>
    </row>
    <row r="88" spans="2:5" x14ac:dyDescent="0.2">
      <c r="C88" s="8">
        <v>411</v>
      </c>
      <c r="D88" s="8" t="s">
        <v>140</v>
      </c>
      <c r="E88" s="18">
        <f>HLOOKUP($D$5,'Bourgeoisies Comptes 2023'!$E$4:$R$166,82,0)</f>
        <v>0</v>
      </c>
    </row>
    <row r="89" spans="2:5" x14ac:dyDescent="0.2">
      <c r="C89" s="8">
        <v>412</v>
      </c>
      <c r="D89" s="8" t="s">
        <v>141</v>
      </c>
      <c r="E89" s="18">
        <f>HLOOKUP($D$5,'Bourgeoisies Comptes 2023'!$E$4:$R$166,83,0)</f>
        <v>8000</v>
      </c>
    </row>
    <row r="90" spans="2:5" x14ac:dyDescent="0.2">
      <c r="C90" s="8">
        <v>413</v>
      </c>
      <c r="D90" s="8" t="s">
        <v>142</v>
      </c>
      <c r="E90" s="18">
        <f>HLOOKUP($D$5,'Bourgeoisies Comptes 2023'!$E$4:$R$166,84,0)</f>
        <v>0</v>
      </c>
    </row>
    <row r="91" spans="2:5" x14ac:dyDescent="0.2">
      <c r="E91" s="13"/>
    </row>
    <row r="92" spans="2:5" ht="15" x14ac:dyDescent="0.25">
      <c r="B92" s="77">
        <v>42</v>
      </c>
      <c r="C92" s="77"/>
      <c r="D92" s="77" t="s">
        <v>143</v>
      </c>
      <c r="E92" s="78">
        <f>SUM(E93:E101)</f>
        <v>1765881.9000000001</v>
      </c>
    </row>
    <row r="93" spans="2:5" x14ac:dyDescent="0.2">
      <c r="C93" s="8">
        <v>420</v>
      </c>
      <c r="D93" s="8" t="s">
        <v>144</v>
      </c>
      <c r="E93" s="18">
        <f>HLOOKUP($D$5,'Bourgeoisies Comptes 2023'!$E$4:$R$166,87,0)</f>
        <v>0</v>
      </c>
    </row>
    <row r="94" spans="2:5" x14ac:dyDescent="0.2">
      <c r="C94" s="8">
        <v>421</v>
      </c>
      <c r="D94" s="8" t="s">
        <v>145</v>
      </c>
      <c r="E94" s="18">
        <f>HLOOKUP($D$5,'Bourgeoisies Comptes 2023'!$E$4:$R$166,88,0)</f>
        <v>6583.84</v>
      </c>
    </row>
    <row r="95" spans="2:5" x14ac:dyDescent="0.2">
      <c r="C95" s="8">
        <v>422</v>
      </c>
      <c r="D95" s="8" t="s">
        <v>146</v>
      </c>
      <c r="E95" s="18">
        <f>HLOOKUP($D$5,'Bourgeoisies Comptes 2023'!$E$4:$R$166,89,0)</f>
        <v>0</v>
      </c>
    </row>
    <row r="96" spans="2:5" x14ac:dyDescent="0.2">
      <c r="C96" s="8">
        <v>423</v>
      </c>
      <c r="D96" s="8" t="s">
        <v>147</v>
      </c>
      <c r="E96" s="18">
        <f>HLOOKUP($D$5,'Bourgeoisies Comptes 2023'!$E$4:$R$166,90,0)</f>
        <v>0</v>
      </c>
    </row>
    <row r="97" spans="2:5" x14ac:dyDescent="0.2">
      <c r="C97" s="8">
        <v>424</v>
      </c>
      <c r="D97" s="8" t="s">
        <v>148</v>
      </c>
      <c r="E97" s="18">
        <f>HLOOKUP($D$5,'Bourgeoisies Comptes 2023'!$E$4:$R$166,91,0)</f>
        <v>167613.54999999999</v>
      </c>
    </row>
    <row r="98" spans="2:5" x14ac:dyDescent="0.2">
      <c r="C98" s="8">
        <v>425</v>
      </c>
      <c r="D98" s="8" t="s">
        <v>149</v>
      </c>
      <c r="E98" s="18">
        <f>HLOOKUP($D$5,'Bourgeoisies Comptes 2023'!$E$4:$R$166,92,0)</f>
        <v>1452538.6700000002</v>
      </c>
    </row>
    <row r="99" spans="2:5" x14ac:dyDescent="0.2">
      <c r="C99" s="8">
        <v>426</v>
      </c>
      <c r="D99" s="8" t="s">
        <v>150</v>
      </c>
      <c r="E99" s="18">
        <f>HLOOKUP($D$5,'Bourgeoisies Comptes 2023'!$E$4:$R$166,93,0)</f>
        <v>139145.84</v>
      </c>
    </row>
    <row r="100" spans="2:5" x14ac:dyDescent="0.2">
      <c r="C100" s="8">
        <v>427</v>
      </c>
      <c r="D100" s="8" t="s">
        <v>151</v>
      </c>
      <c r="E100" s="18">
        <f>HLOOKUP($D$5,'Bourgeoisies Comptes 2023'!$E$4:$R$166,94,0)</f>
        <v>0</v>
      </c>
    </row>
    <row r="101" spans="2:5" x14ac:dyDescent="0.2">
      <c r="C101" s="8">
        <v>429</v>
      </c>
      <c r="D101" s="8" t="s">
        <v>152</v>
      </c>
      <c r="E101" s="18">
        <f>HLOOKUP($D$5,'Bourgeoisies Comptes 2023'!$E$4:$R$166,95,0)</f>
        <v>0</v>
      </c>
    </row>
    <row r="102" spans="2:5" x14ac:dyDescent="0.2">
      <c r="E102" s="13"/>
    </row>
    <row r="103" spans="2:5" ht="15" x14ac:dyDescent="0.25">
      <c r="B103" s="77">
        <v>43</v>
      </c>
      <c r="C103" s="77"/>
      <c r="D103" s="77" t="s">
        <v>153</v>
      </c>
      <c r="E103" s="78">
        <f>SUM(E104:E107)</f>
        <v>1636</v>
      </c>
    </row>
    <row r="104" spans="2:5" x14ac:dyDescent="0.2">
      <c r="C104" s="8">
        <v>430</v>
      </c>
      <c r="D104" s="8" t="s">
        <v>154</v>
      </c>
      <c r="E104" s="18">
        <f>HLOOKUP($D$5,'Bourgeoisies Comptes 2023'!$E$4:$R$166,98,0)</f>
        <v>0</v>
      </c>
    </row>
    <row r="105" spans="2:5" x14ac:dyDescent="0.2">
      <c r="C105" s="8">
        <v>431</v>
      </c>
      <c r="D105" s="8" t="s">
        <v>155</v>
      </c>
      <c r="E105" s="18">
        <f>HLOOKUP($D$5,'Bourgeoisies Comptes 2023'!$E$4:$R$166,99,0)</f>
        <v>0</v>
      </c>
    </row>
    <row r="106" spans="2:5" x14ac:dyDescent="0.2">
      <c r="C106" s="8">
        <v>432</v>
      </c>
      <c r="D106" s="8" t="s">
        <v>156</v>
      </c>
      <c r="E106" s="18">
        <f>HLOOKUP($D$5,'Bourgeoisies Comptes 2023'!$E$4:$R$166,100,0)</f>
        <v>1636</v>
      </c>
    </row>
    <row r="107" spans="2:5" x14ac:dyDescent="0.2">
      <c r="C107" s="8">
        <v>439</v>
      </c>
      <c r="D107" s="8" t="s">
        <v>157</v>
      </c>
      <c r="E107" s="18">
        <f>HLOOKUP($D$5,'Bourgeoisies Comptes 2023'!$E$4:$R$166,101,0)</f>
        <v>0</v>
      </c>
    </row>
    <row r="108" spans="2:5" x14ac:dyDescent="0.2">
      <c r="E108" s="13"/>
    </row>
    <row r="109" spans="2:5" ht="15" x14ac:dyDescent="0.25">
      <c r="B109" s="77">
        <v>44</v>
      </c>
      <c r="C109" s="77"/>
      <c r="D109" s="77" t="s">
        <v>158</v>
      </c>
      <c r="E109" s="78">
        <f>SUM(E110:E119)</f>
        <v>2147329.1599999997</v>
      </c>
    </row>
    <row r="110" spans="2:5" x14ac:dyDescent="0.2">
      <c r="C110" s="8">
        <v>440</v>
      </c>
      <c r="D110" s="8" t="s">
        <v>159</v>
      </c>
      <c r="E110" s="18">
        <f>HLOOKUP($D$5,'Bourgeoisies Comptes 2023'!$E$4:$R$166,104,0)</f>
        <v>69213.48</v>
      </c>
    </row>
    <row r="111" spans="2:5" x14ac:dyDescent="0.2">
      <c r="C111" s="8">
        <v>441</v>
      </c>
      <c r="D111" s="8" t="s">
        <v>160</v>
      </c>
      <c r="E111" s="18">
        <f>HLOOKUP($D$5,'Bourgeoisies Comptes 2023'!$E$4:$R$166,105,0)</f>
        <v>0</v>
      </c>
    </row>
    <row r="112" spans="2:5" x14ac:dyDescent="0.2">
      <c r="C112" s="8">
        <v>442</v>
      </c>
      <c r="D112" s="8" t="s">
        <v>161</v>
      </c>
      <c r="E112" s="18">
        <f>HLOOKUP($D$5,'Bourgeoisies Comptes 2023'!$E$4:$R$166,106,0)</f>
        <v>16736.45</v>
      </c>
    </row>
    <row r="113" spans="2:5" x14ac:dyDescent="0.2">
      <c r="C113" s="8">
        <v>443</v>
      </c>
      <c r="D113" s="8" t="s">
        <v>162</v>
      </c>
      <c r="E113" s="18">
        <f>HLOOKUP($D$5,'Bourgeoisies Comptes 2023'!$E$4:$R$166,107,0)</f>
        <v>1232787.73</v>
      </c>
    </row>
    <row r="114" spans="2:5" x14ac:dyDescent="0.2">
      <c r="C114" s="8">
        <v>444</v>
      </c>
      <c r="D114" s="8" t="s">
        <v>102</v>
      </c>
      <c r="E114" s="18">
        <f>HLOOKUP($D$5,'Bourgeoisies Comptes 2023'!$E$4:$R$166,108,0)</f>
        <v>0</v>
      </c>
    </row>
    <row r="115" spans="2:5" x14ac:dyDescent="0.2">
      <c r="C115" s="8">
        <v>445</v>
      </c>
      <c r="D115" s="8" t="s">
        <v>163</v>
      </c>
      <c r="E115" s="18">
        <f>HLOOKUP($D$5,'Bourgeoisies Comptes 2023'!$E$4:$R$166,109,0)</f>
        <v>0</v>
      </c>
    </row>
    <row r="116" spans="2:5" x14ac:dyDescent="0.2">
      <c r="C116" s="8">
        <v>446</v>
      </c>
      <c r="D116" s="8" t="s">
        <v>164</v>
      </c>
      <c r="E116" s="18">
        <f>HLOOKUP($D$5,'Bourgeoisies Comptes 2023'!$E$4:$R$166,110,0)</f>
        <v>0</v>
      </c>
    </row>
    <row r="117" spans="2:5" x14ac:dyDescent="0.2">
      <c r="C117" s="8">
        <v>447</v>
      </c>
      <c r="D117" s="8" t="s">
        <v>165</v>
      </c>
      <c r="E117" s="18">
        <f>HLOOKUP($D$5,'Bourgeoisies Comptes 2023'!$E$4:$R$166,111,0)</f>
        <v>828678.85000000009</v>
      </c>
    </row>
    <row r="118" spans="2:5" x14ac:dyDescent="0.2">
      <c r="C118" s="8">
        <v>448</v>
      </c>
      <c r="D118" s="8" t="s">
        <v>166</v>
      </c>
      <c r="E118" s="18">
        <f>HLOOKUP($D$5,'Bourgeoisies Comptes 2023'!$E$4:$R$166,112,0)</f>
        <v>0</v>
      </c>
    </row>
    <row r="119" spans="2:5" x14ac:dyDescent="0.2">
      <c r="C119" s="8">
        <v>449</v>
      </c>
      <c r="D119" s="8" t="s">
        <v>167</v>
      </c>
      <c r="E119" s="18">
        <f>HLOOKUP($D$5,'Bourgeoisies Comptes 2023'!$E$4:$R$166,113,0)</f>
        <v>-87.35</v>
      </c>
    </row>
    <row r="120" spans="2:5" x14ac:dyDescent="0.2">
      <c r="E120" s="13"/>
    </row>
    <row r="121" spans="2:5" ht="15" x14ac:dyDescent="0.25">
      <c r="B121" s="77">
        <v>45</v>
      </c>
      <c r="C121" s="77"/>
      <c r="D121" s="77" t="s">
        <v>170</v>
      </c>
      <c r="E121" s="78">
        <f>SUM(E122:E123)</f>
        <v>46707.65</v>
      </c>
    </row>
    <row r="122" spans="2:5" x14ac:dyDescent="0.2">
      <c r="C122" s="8">
        <v>450</v>
      </c>
      <c r="D122" s="8" t="s">
        <v>168</v>
      </c>
      <c r="E122" s="18">
        <f>HLOOKUP($D$5,'Bourgeoisies Comptes 2023'!$E$4:$R$166,116,0)</f>
        <v>2287.35</v>
      </c>
    </row>
    <row r="123" spans="2:5" x14ac:dyDescent="0.2">
      <c r="C123" s="8">
        <v>451</v>
      </c>
      <c r="D123" s="8" t="s">
        <v>169</v>
      </c>
      <c r="E123" s="18">
        <f>HLOOKUP($D$5,'Bourgeoisies Comptes 2023'!$E$4:$R$166,117,0)</f>
        <v>44420.3</v>
      </c>
    </row>
    <row r="124" spans="2:5" x14ac:dyDescent="0.2">
      <c r="E124" s="13"/>
    </row>
    <row r="125" spans="2:5" ht="15" x14ac:dyDescent="0.25">
      <c r="B125" s="77">
        <v>46</v>
      </c>
      <c r="C125" s="77"/>
      <c r="D125" s="77" t="s">
        <v>171</v>
      </c>
      <c r="E125" s="78">
        <f>SUM(E126:E130)</f>
        <v>631667.35</v>
      </c>
    </row>
    <row r="126" spans="2:5" x14ac:dyDescent="0.2">
      <c r="C126" s="8">
        <v>460</v>
      </c>
      <c r="D126" s="8" t="s">
        <v>172</v>
      </c>
      <c r="E126" s="18">
        <f>HLOOKUP($D$5,'Bourgeoisies Comptes 2023'!$E$4:$R$166,120,0)</f>
        <v>0</v>
      </c>
    </row>
    <row r="127" spans="2:5" x14ac:dyDescent="0.2">
      <c r="C127" s="8">
        <v>461</v>
      </c>
      <c r="D127" s="8" t="s">
        <v>173</v>
      </c>
      <c r="E127" s="18">
        <f>HLOOKUP($D$5,'Bourgeoisies Comptes 2023'!$E$4:$R$166,121,0)</f>
        <v>2483.9499999999998</v>
      </c>
    </row>
    <row r="128" spans="2:5" x14ac:dyDescent="0.2">
      <c r="C128" s="8">
        <v>462</v>
      </c>
      <c r="D128" s="8" t="s">
        <v>109</v>
      </c>
      <c r="E128" s="18">
        <f>HLOOKUP($D$5,'Bourgeoisies Comptes 2023'!$E$4:$R$166,122,0)</f>
        <v>0</v>
      </c>
    </row>
    <row r="129" spans="2:5" x14ac:dyDescent="0.2">
      <c r="C129" s="8">
        <v>463</v>
      </c>
      <c r="D129" s="8" t="s">
        <v>174</v>
      </c>
      <c r="E129" s="18">
        <f>HLOOKUP($D$5,'Bourgeoisies Comptes 2023'!$E$4:$R$166,123,0)</f>
        <v>618664.5</v>
      </c>
    </row>
    <row r="130" spans="2:5" x14ac:dyDescent="0.2">
      <c r="C130" s="8">
        <v>469</v>
      </c>
      <c r="D130" s="8" t="s">
        <v>175</v>
      </c>
      <c r="E130" s="18">
        <f>HLOOKUP($D$5,'Bourgeoisies Comptes 2023'!$E$4:$R$166,124,0)</f>
        <v>10518.9</v>
      </c>
    </row>
    <row r="131" spans="2:5" x14ac:dyDescent="0.2">
      <c r="E131" s="13"/>
    </row>
    <row r="132" spans="2:5" ht="15" x14ac:dyDescent="0.25">
      <c r="B132" s="77">
        <v>47</v>
      </c>
      <c r="C132" s="77"/>
      <c r="D132" s="77" t="s">
        <v>115</v>
      </c>
      <c r="E132" s="78">
        <f>SUM(E133)</f>
        <v>6718.8</v>
      </c>
    </row>
    <row r="133" spans="2:5" x14ac:dyDescent="0.2">
      <c r="C133" s="8">
        <v>470</v>
      </c>
      <c r="D133" s="8" t="s">
        <v>176</v>
      </c>
      <c r="E133" s="18">
        <f>HLOOKUP($D$5,'Bourgeoisies Comptes 2023'!$E$4:$R$166,127,0)</f>
        <v>6718.8</v>
      </c>
    </row>
    <row r="134" spans="2:5" x14ac:dyDescent="0.2">
      <c r="E134" s="13"/>
    </row>
    <row r="135" spans="2:5" ht="15" x14ac:dyDescent="0.25">
      <c r="B135" s="77">
        <v>48</v>
      </c>
      <c r="C135" s="77"/>
      <c r="D135" s="77" t="s">
        <v>177</v>
      </c>
      <c r="E135" s="78">
        <f>SUM(E136:E142)</f>
        <v>71400</v>
      </c>
    </row>
    <row r="136" spans="2:5" x14ac:dyDescent="0.2">
      <c r="C136" s="8">
        <v>481</v>
      </c>
      <c r="D136" s="8" t="s">
        <v>178</v>
      </c>
      <c r="E136" s="18">
        <f>HLOOKUP($D$5,'Bourgeoisies Comptes 2023'!$E$4:$R$166,130,0)</f>
        <v>0</v>
      </c>
    </row>
    <row r="137" spans="2:5" x14ac:dyDescent="0.2">
      <c r="C137" s="8">
        <v>482</v>
      </c>
      <c r="D137" s="8" t="s">
        <v>179</v>
      </c>
      <c r="E137" s="18">
        <f>HLOOKUP($D$5,'Bourgeoisies Comptes 2023'!$E$4:$R$166,131,0)</f>
        <v>0</v>
      </c>
    </row>
    <row r="138" spans="2:5" x14ac:dyDescent="0.2">
      <c r="C138" s="8">
        <v>483</v>
      </c>
      <c r="D138" s="8" t="s">
        <v>180</v>
      </c>
      <c r="E138" s="18">
        <f>HLOOKUP($D$5,'Bourgeoisies Comptes 2023'!$E$4:$R$166,132,0)</f>
        <v>0</v>
      </c>
    </row>
    <row r="139" spans="2:5" x14ac:dyDescent="0.2">
      <c r="C139" s="8">
        <v>484</v>
      </c>
      <c r="D139" s="8" t="s">
        <v>181</v>
      </c>
      <c r="E139" s="18">
        <f>HLOOKUP($D$5,'Bourgeoisies Comptes 2023'!$E$4:$R$166,133,0)</f>
        <v>71400</v>
      </c>
    </row>
    <row r="140" spans="2:5" x14ac:dyDescent="0.2">
      <c r="C140" s="8">
        <v>485</v>
      </c>
      <c r="D140" s="8" t="s">
        <v>182</v>
      </c>
      <c r="E140" s="18">
        <f>HLOOKUP($D$5,'Bourgeoisies Comptes 2023'!$E$4:$R$166,134,0)</f>
        <v>0</v>
      </c>
    </row>
    <row r="141" spans="2:5" x14ac:dyDescent="0.2">
      <c r="C141" s="8">
        <v>486</v>
      </c>
      <c r="D141" s="8" t="s">
        <v>183</v>
      </c>
      <c r="E141" s="18">
        <f>HLOOKUP($D$5,'Bourgeoisies Comptes 2023'!$E$4:$R$166,135,0)</f>
        <v>0</v>
      </c>
    </row>
    <row r="142" spans="2:5" x14ac:dyDescent="0.2">
      <c r="C142" s="8">
        <v>489</v>
      </c>
      <c r="D142" s="8" t="s">
        <v>184</v>
      </c>
      <c r="E142" s="18">
        <f>HLOOKUP($D$5,'Bourgeoisies Comptes 2023'!$E$4:$R$166,136,0)</f>
        <v>0</v>
      </c>
    </row>
    <row r="143" spans="2:5" x14ac:dyDescent="0.2">
      <c r="E143" s="13"/>
    </row>
    <row r="144" spans="2:5" ht="15" x14ac:dyDescent="0.25">
      <c r="B144" s="77">
        <v>49</v>
      </c>
      <c r="C144" s="77"/>
      <c r="D144" s="77" t="s">
        <v>124</v>
      </c>
      <c r="E144" s="78">
        <f>SUM(E145:E152)</f>
        <v>151723.40000000002</v>
      </c>
    </row>
    <row r="145" spans="1:5" x14ac:dyDescent="0.2">
      <c r="C145" s="8">
        <v>490</v>
      </c>
      <c r="D145" s="8" t="s">
        <v>125</v>
      </c>
      <c r="E145" s="18">
        <f>HLOOKUP($D$5,'Bourgeoisies Comptes 2023'!$E$4:$R$166,139,0)</f>
        <v>64432.45</v>
      </c>
    </row>
    <row r="146" spans="1:5" x14ac:dyDescent="0.2">
      <c r="C146" s="8">
        <v>491</v>
      </c>
      <c r="D146" s="8" t="s">
        <v>126</v>
      </c>
      <c r="E146" s="18">
        <f>HLOOKUP($D$5,'Bourgeoisies Comptes 2023'!$E$4:$R$166,140,0)</f>
        <v>87290.950000000012</v>
      </c>
    </row>
    <row r="147" spans="1:5" x14ac:dyDescent="0.2">
      <c r="C147" s="8">
        <v>492</v>
      </c>
      <c r="D147" s="8" t="s">
        <v>185</v>
      </c>
      <c r="E147" s="18">
        <f>HLOOKUP($D$5,'Bourgeoisies Comptes 2023'!$E$4:$R$166,141,0)</f>
        <v>0</v>
      </c>
    </row>
    <row r="148" spans="1:5" x14ac:dyDescent="0.2">
      <c r="C148" s="8">
        <v>493</v>
      </c>
      <c r="D148" s="8" t="s">
        <v>186</v>
      </c>
      <c r="E148" s="18">
        <f>HLOOKUP($D$5,'Bourgeoisies Comptes 2023'!$E$4:$R$166,142,0)</f>
        <v>0</v>
      </c>
    </row>
    <row r="149" spans="1:5" x14ac:dyDescent="0.2">
      <c r="C149" s="8">
        <v>494</v>
      </c>
      <c r="D149" s="8" t="s">
        <v>129</v>
      </c>
      <c r="E149" s="18">
        <f>HLOOKUP($D$5,'Bourgeoisies Comptes 2023'!$E$4:$R$166,143,0)</f>
        <v>0</v>
      </c>
    </row>
    <row r="150" spans="1:5" x14ac:dyDescent="0.2">
      <c r="C150" s="8">
        <v>495</v>
      </c>
      <c r="D150" s="8" t="s">
        <v>187</v>
      </c>
      <c r="E150" s="18">
        <f>HLOOKUP($D$5,'Bourgeoisies Comptes 2023'!$E$4:$R$166,144,0)</f>
        <v>0</v>
      </c>
    </row>
    <row r="151" spans="1:5" x14ac:dyDescent="0.2">
      <c r="C151" s="8">
        <v>498</v>
      </c>
      <c r="D151" s="8" t="s">
        <v>188</v>
      </c>
      <c r="E151" s="18">
        <f>HLOOKUP($D$5,'Bourgeoisies Comptes 2023'!$E$4:$R$166,145,0)</f>
        <v>0</v>
      </c>
    </row>
    <row r="152" spans="1:5" x14ac:dyDescent="0.2">
      <c r="C152" s="8">
        <v>499</v>
      </c>
      <c r="D152" s="8" t="s">
        <v>132</v>
      </c>
      <c r="E152" s="18">
        <f>HLOOKUP($D$5,'Bourgeoisies Comptes 2023'!$E$4:$R$166,146,0)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24883.139999999992</v>
      </c>
    </row>
    <row r="158" spans="1:5" x14ac:dyDescent="0.2">
      <c r="C158" s="8">
        <v>900</v>
      </c>
      <c r="D158" s="8" t="s">
        <v>192</v>
      </c>
      <c r="E158" s="18">
        <f>HLOOKUP($D$5,'Bourgeoisies Comptes 2023'!$E$4:$R$166,152,0)</f>
        <v>24883.139999999992</v>
      </c>
    </row>
    <row r="159" spans="1:5" x14ac:dyDescent="0.2">
      <c r="C159" s="8">
        <v>901</v>
      </c>
      <c r="D159" s="8" t="s">
        <v>193</v>
      </c>
      <c r="E159" s="18">
        <f>HLOOKUP($D$5,'Bourgeoisies Comptes 2023'!$E$4:$R$166,153,0)</f>
        <v>0</v>
      </c>
    </row>
    <row r="160" spans="1:5" x14ac:dyDescent="0.2">
      <c r="E160" s="13"/>
    </row>
    <row r="161" spans="4:5" ht="15" x14ac:dyDescent="0.25">
      <c r="D161" s="7" t="s">
        <v>194</v>
      </c>
      <c r="E161" s="18">
        <f>HLOOKUP($D$5,'Bourgeoisies Comptes 2023'!$E$4:$R$166,155,0)</f>
        <v>24883.139999999992</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734</v>
      </c>
    </row>
    <row r="6" spans="1:3" ht="15" x14ac:dyDescent="0.25">
      <c r="A6" s="96" t="s">
        <v>212</v>
      </c>
      <c r="B6" s="96" t="s">
        <v>197</v>
      </c>
      <c r="C6" s="96" t="s">
        <v>854</v>
      </c>
    </row>
    <row r="7" spans="1:3" x14ac:dyDescent="0.2">
      <c r="A7" s="97">
        <v>90</v>
      </c>
      <c r="B7" s="98" t="s">
        <v>775</v>
      </c>
      <c r="C7" s="99">
        <f>'Bourgeoisies Comptes 2023'!R154</f>
        <v>24883.139999999992</v>
      </c>
    </row>
    <row r="8" spans="1:3" x14ac:dyDescent="0.2">
      <c r="A8" s="97">
        <v>900</v>
      </c>
      <c r="B8" s="98" t="s">
        <v>215</v>
      </c>
      <c r="C8" s="99">
        <f>'Bourgeoisies Comptes 2023'!R155</f>
        <v>24883.139999999992</v>
      </c>
    </row>
    <row r="9" spans="1:3" x14ac:dyDescent="0.2">
      <c r="A9" s="97">
        <v>901</v>
      </c>
      <c r="B9" s="98" t="s">
        <v>216</v>
      </c>
      <c r="C9" s="99">
        <f>'Bourgeoisies Comptes 2023'!R156</f>
        <v>0</v>
      </c>
    </row>
    <row r="10" spans="1:3" x14ac:dyDescent="0.2">
      <c r="A10" s="97" t="s">
        <v>213</v>
      </c>
      <c r="B10" s="98" t="s">
        <v>217</v>
      </c>
      <c r="C10" s="99">
        <f>'Bourgeoisie investissement'!R183</f>
        <v>480606.3</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872</v>
      </c>
    </row>
    <row r="5" spans="1:3" ht="15" thickBot="1" x14ac:dyDescent="0.25">
      <c r="B5" s="202" t="s">
        <v>736</v>
      </c>
    </row>
    <row r="6" spans="1:3" ht="15.75" thickBot="1" x14ac:dyDescent="0.3">
      <c r="B6" s="92" t="s">
        <v>56</v>
      </c>
    </row>
    <row r="9" spans="1:3" ht="15" x14ac:dyDescent="0.25">
      <c r="A9" s="96" t="s">
        <v>212</v>
      </c>
      <c r="B9" s="96" t="s">
        <v>197</v>
      </c>
      <c r="C9" s="96" t="s">
        <v>854</v>
      </c>
    </row>
    <row r="10" spans="1:3" x14ac:dyDescent="0.2">
      <c r="A10" s="97">
        <v>90</v>
      </c>
      <c r="B10" s="98" t="s">
        <v>775</v>
      </c>
      <c r="C10" s="99">
        <f>HLOOKUP($B$6,'Bourgeoisies Comptes 2023'!$E$4:$R$166,151,0)</f>
        <v>31556.67</v>
      </c>
    </row>
    <row r="11" spans="1:3" x14ac:dyDescent="0.2">
      <c r="A11" s="97">
        <v>900</v>
      </c>
      <c r="B11" s="98" t="s">
        <v>215</v>
      </c>
      <c r="C11" s="99">
        <f>HLOOKUP($B$6,'Bourgeoisies Comptes 2023'!$E$4:$R$166,152,0)</f>
        <v>31556.67</v>
      </c>
    </row>
    <row r="12" spans="1:3" x14ac:dyDescent="0.2">
      <c r="A12" s="97">
        <v>901</v>
      </c>
      <c r="B12" s="98" t="s">
        <v>216</v>
      </c>
      <c r="C12" s="99">
        <f>HLOOKUP($B$6,'Bourgeoisies Comptes 2023'!$E$4:$R$166,153,0)</f>
        <v>0</v>
      </c>
    </row>
    <row r="13" spans="1:3" x14ac:dyDescent="0.2">
      <c r="A13" s="97" t="s">
        <v>213</v>
      </c>
      <c r="B13" s="98" t="s">
        <v>217</v>
      </c>
      <c r="C13" s="99">
        <f>HLOOKUP($B$6,'Bourgeoisie investissement'!$E$4:$R$185,180,0)</f>
        <v>0</v>
      </c>
    </row>
    <row r="15" spans="1:3" x14ac:dyDescent="0.2">
      <c r="C15" s="65"/>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734</v>
      </c>
    </row>
    <row r="6" spans="1:3" ht="15" x14ac:dyDescent="0.25">
      <c r="A6" s="7" t="s">
        <v>857</v>
      </c>
    </row>
    <row r="8" spans="1:3" ht="15" x14ac:dyDescent="0.25">
      <c r="A8" s="96" t="s">
        <v>196</v>
      </c>
      <c r="B8" s="96" t="s">
        <v>197</v>
      </c>
      <c r="C8" s="96" t="s">
        <v>198</v>
      </c>
    </row>
    <row r="9" spans="1:3" x14ac:dyDescent="0.2">
      <c r="A9" s="97" t="s">
        <v>205</v>
      </c>
      <c r="B9" s="98" t="s">
        <v>199</v>
      </c>
      <c r="C9" s="99">
        <f>'Bourgeoisies Comptes 2023'!R6+'Bourgeoisies Comptes 2023'!R16+'Bourgeoisies Comptes 2023'!R28+'Bourgeoisies Comptes 2023'!R40+'Bourgeoisies Comptes 2023'!R44+'Bourgeoisies Comptes 2023'!R54</f>
        <v>4234671.4800000004</v>
      </c>
    </row>
    <row r="10" spans="1:3" x14ac:dyDescent="0.2">
      <c r="A10" s="97" t="s">
        <v>206</v>
      </c>
      <c r="B10" s="98" t="s">
        <v>200</v>
      </c>
      <c r="C10" s="99">
        <f>'Bourgeoisies Comptes 2023'!R77+'Bourgeoisies Comptes 2023'!R83+'Bourgeoisies Comptes 2023'!R89+'Bourgeoisies Comptes 2023'!R100+'Bourgeoisies Comptes 2023'!R118+'Bourgeoisies Comptes 2023'!R122+'Bourgeoisies Comptes 2023'!R129</f>
        <v>2465686.6999999997</v>
      </c>
    </row>
    <row r="11" spans="1:3" ht="15" x14ac:dyDescent="0.25">
      <c r="A11" s="98"/>
      <c r="B11" s="100" t="s">
        <v>201</v>
      </c>
      <c r="C11" s="101">
        <f>C10-C9</f>
        <v>-1768984.7800000007</v>
      </c>
    </row>
    <row r="12" spans="1:3" x14ac:dyDescent="0.2">
      <c r="A12" s="98"/>
      <c r="B12" s="98"/>
      <c r="C12" s="98"/>
    </row>
    <row r="13" spans="1:3" x14ac:dyDescent="0.2">
      <c r="A13" s="98">
        <v>34</v>
      </c>
      <c r="B13" s="98" t="s">
        <v>97</v>
      </c>
      <c r="C13" s="99">
        <f>'Bourgeoisies Comptes 2023'!R32</f>
        <v>392021.54999999993</v>
      </c>
    </row>
    <row r="14" spans="1:3" x14ac:dyDescent="0.2">
      <c r="A14" s="98">
        <v>44</v>
      </c>
      <c r="B14" s="98" t="s">
        <v>158</v>
      </c>
      <c r="C14" s="99">
        <f>'Bourgeoisies Comptes 2023'!R106</f>
        <v>2147329.1599999997</v>
      </c>
    </row>
    <row r="15" spans="1:3" ht="15" x14ac:dyDescent="0.25">
      <c r="A15" s="98"/>
      <c r="B15" s="100" t="s">
        <v>234</v>
      </c>
      <c r="C15" s="101">
        <f>C14-C13</f>
        <v>1755307.6099999999</v>
      </c>
    </row>
    <row r="16" spans="1:3" x14ac:dyDescent="0.2">
      <c r="A16" s="98"/>
      <c r="B16" s="98"/>
      <c r="C16" s="98"/>
    </row>
    <row r="17" spans="1:3" ht="15" x14ac:dyDescent="0.25">
      <c r="A17" s="98"/>
      <c r="B17" s="100" t="s">
        <v>202</v>
      </c>
      <c r="C17" s="101">
        <f>C11+C15</f>
        <v>-13677.170000000857</v>
      </c>
    </row>
    <row r="18" spans="1:3" x14ac:dyDescent="0.2">
      <c r="A18" s="98"/>
      <c r="B18" s="98"/>
      <c r="C18" s="98"/>
    </row>
    <row r="19" spans="1:3" x14ac:dyDescent="0.2">
      <c r="A19" s="98">
        <v>38</v>
      </c>
      <c r="B19" s="98" t="s">
        <v>117</v>
      </c>
      <c r="C19" s="99">
        <f>'Bourgeoisies Comptes 2023'!R57</f>
        <v>1406.69</v>
      </c>
    </row>
    <row r="20" spans="1:3" x14ac:dyDescent="0.2">
      <c r="A20" s="98">
        <v>48</v>
      </c>
      <c r="B20" s="98" t="s">
        <v>177</v>
      </c>
      <c r="C20" s="99">
        <f>'Bourgeoisies Comptes 2023'!R132</f>
        <v>71400</v>
      </c>
    </row>
    <row r="21" spans="1:3" ht="15" x14ac:dyDescent="0.25">
      <c r="A21" s="98"/>
      <c r="B21" s="100" t="s">
        <v>203</v>
      </c>
      <c r="C21" s="101">
        <f>C20-C19</f>
        <v>69993.31</v>
      </c>
    </row>
    <row r="22" spans="1:3" x14ac:dyDescent="0.2">
      <c r="A22" s="98"/>
      <c r="B22" s="98"/>
      <c r="C22" s="98"/>
    </row>
    <row r="23" spans="1:3" ht="15" x14ac:dyDescent="0.25">
      <c r="A23" s="98"/>
      <c r="B23" s="100" t="s">
        <v>204</v>
      </c>
      <c r="C23" s="101">
        <f>C17+C21</f>
        <v>56316.139999999141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736</v>
      </c>
    </row>
    <row r="6" spans="1:3" ht="15.75" thickBot="1" x14ac:dyDescent="0.3">
      <c r="B6" s="92" t="s">
        <v>56</v>
      </c>
    </row>
    <row r="8" spans="1:3" ht="15" x14ac:dyDescent="0.25">
      <c r="A8" s="96" t="s">
        <v>196</v>
      </c>
      <c r="B8" s="96" t="s">
        <v>197</v>
      </c>
      <c r="C8" s="96" t="s">
        <v>198</v>
      </c>
    </row>
    <row r="9" spans="1:3" x14ac:dyDescent="0.2">
      <c r="A9" s="97" t="s">
        <v>205</v>
      </c>
      <c r="B9" s="98" t="s">
        <v>199</v>
      </c>
      <c r="C9" s="99">
        <f>HLOOKUP($B$6,'Bourgeoisies Comptes 2023'!$E$4:$R$169,162,0)</f>
        <v>122377.63</v>
      </c>
    </row>
    <row r="10" spans="1:3" x14ac:dyDescent="0.2">
      <c r="A10" s="97" t="s">
        <v>206</v>
      </c>
      <c r="B10" s="98" t="s">
        <v>200</v>
      </c>
      <c r="C10" s="99">
        <f>HLOOKUP($B$6,'Bourgeoisies Comptes 2023'!$E$4:$R$169,163,0)</f>
        <v>132658.03</v>
      </c>
    </row>
    <row r="11" spans="1:3" ht="15" x14ac:dyDescent="0.25">
      <c r="A11" s="98"/>
      <c r="B11" s="100" t="s">
        <v>201</v>
      </c>
      <c r="C11" s="101">
        <f>C10-C9</f>
        <v>10280.399999999994</v>
      </c>
    </row>
    <row r="12" spans="1:3" x14ac:dyDescent="0.2">
      <c r="A12" s="98"/>
      <c r="B12" s="98"/>
      <c r="C12" s="98"/>
    </row>
    <row r="13" spans="1:3" x14ac:dyDescent="0.2">
      <c r="A13" s="98">
        <v>34</v>
      </c>
      <c r="B13" s="98" t="s">
        <v>97</v>
      </c>
      <c r="C13" s="99">
        <f>HLOOKUP($B$6,'Bourgeoisies Comptes 2023'!$E$4:$R$169,29,0)</f>
        <v>18286.32</v>
      </c>
    </row>
    <row r="14" spans="1:3" x14ac:dyDescent="0.2">
      <c r="A14" s="98">
        <v>44</v>
      </c>
      <c r="B14" s="98" t="s">
        <v>158</v>
      </c>
      <c r="C14" s="99">
        <f>HLOOKUP($B$6,'Bourgeoisies Comptes 2023'!$E$4:$R$169,103,0)</f>
        <v>39562.590000000004</v>
      </c>
    </row>
    <row r="15" spans="1:3" ht="15" x14ac:dyDescent="0.25">
      <c r="A15" s="98"/>
      <c r="B15" s="100" t="s">
        <v>234</v>
      </c>
      <c r="C15" s="101">
        <f>C14-C13</f>
        <v>21276.270000000004</v>
      </c>
    </row>
    <row r="16" spans="1:3" x14ac:dyDescent="0.2">
      <c r="A16" s="98"/>
      <c r="B16" s="98"/>
      <c r="C16" s="98"/>
    </row>
    <row r="17" spans="1:3" ht="15" x14ac:dyDescent="0.25">
      <c r="A17" s="98"/>
      <c r="B17" s="100" t="s">
        <v>202</v>
      </c>
      <c r="C17" s="101">
        <f>C11+C15</f>
        <v>31556.67</v>
      </c>
    </row>
    <row r="18" spans="1:3" x14ac:dyDescent="0.2">
      <c r="A18" s="98"/>
      <c r="B18" s="98"/>
      <c r="C18" s="98"/>
    </row>
    <row r="19" spans="1:3" x14ac:dyDescent="0.2">
      <c r="A19" s="98">
        <v>38</v>
      </c>
      <c r="B19" s="98" t="s">
        <v>117</v>
      </c>
      <c r="C19" s="99">
        <f>HLOOKUP($B$6,'Bourgeoisies Comptes 2023'!$E$4:$R$169,54,0)</f>
        <v>0</v>
      </c>
    </row>
    <row r="20" spans="1:3" x14ac:dyDescent="0.2">
      <c r="A20" s="98">
        <v>48</v>
      </c>
      <c r="B20" s="98" t="s">
        <v>177</v>
      </c>
      <c r="C20" s="99">
        <f>HLOOKUP($B$6,'Bourgeoisies Comptes 2023'!$E$4:$R$169,129,0)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31556.67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A3" sqref="A3"/>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2" t="s">
        <v>218</v>
      </c>
    </row>
    <row r="5" spans="1:4" ht="15" x14ac:dyDescent="0.25">
      <c r="A5" s="7" t="s">
        <v>735</v>
      </c>
    </row>
    <row r="6" spans="1:4" ht="15" x14ac:dyDescent="0.25">
      <c r="A6" s="7" t="s">
        <v>858</v>
      </c>
    </row>
    <row r="8" spans="1:4" ht="15" x14ac:dyDescent="0.25">
      <c r="A8" s="96" t="s">
        <v>219</v>
      </c>
      <c r="B8" s="96"/>
      <c r="C8" s="96" t="s">
        <v>197</v>
      </c>
      <c r="D8" s="96" t="s">
        <v>198</v>
      </c>
    </row>
    <row r="9" spans="1:4" x14ac:dyDescent="0.2">
      <c r="A9" s="98">
        <v>90</v>
      </c>
      <c r="B9" s="102"/>
      <c r="C9" s="98" t="s">
        <v>776</v>
      </c>
      <c r="D9" s="99">
        <f>'Bourgeoisies Comptes 2023'!R154</f>
        <v>24883.139999999992</v>
      </c>
    </row>
    <row r="10" spans="1:4" x14ac:dyDescent="0.2">
      <c r="A10" s="98">
        <v>33</v>
      </c>
      <c r="B10" s="102" t="s">
        <v>221</v>
      </c>
      <c r="C10" s="98" t="s">
        <v>94</v>
      </c>
      <c r="D10" s="99">
        <f>'Bourgeoisies Comptes 2023'!R28</f>
        <v>381518.5</v>
      </c>
    </row>
    <row r="11" spans="1:4" x14ac:dyDescent="0.2">
      <c r="A11" s="98">
        <v>35</v>
      </c>
      <c r="B11" s="102" t="s">
        <v>221</v>
      </c>
      <c r="C11" s="98" t="s">
        <v>223</v>
      </c>
      <c r="D11" s="99">
        <f>'Bourgeoisies Comptes 2023'!R40</f>
        <v>326878.8</v>
      </c>
    </row>
    <row r="12" spans="1:4" x14ac:dyDescent="0.2">
      <c r="A12" s="98">
        <v>45</v>
      </c>
      <c r="B12" s="102" t="s">
        <v>222</v>
      </c>
      <c r="C12" s="98" t="s">
        <v>170</v>
      </c>
      <c r="D12" s="99">
        <f>'Bourgeoisies Comptes 2023'!R118</f>
        <v>46707.65</v>
      </c>
    </row>
    <row r="13" spans="1:4" x14ac:dyDescent="0.2">
      <c r="A13" s="98">
        <v>364</v>
      </c>
      <c r="B13" s="102" t="s">
        <v>221</v>
      </c>
      <c r="C13" s="98" t="s">
        <v>230</v>
      </c>
      <c r="D13" s="99">
        <f>'Bourgeoisies Comptes 2023'!R49</f>
        <v>0</v>
      </c>
    </row>
    <row r="14" spans="1:4" x14ac:dyDescent="0.2">
      <c r="A14" s="98">
        <v>365</v>
      </c>
      <c r="B14" s="102" t="s">
        <v>221</v>
      </c>
      <c r="C14" s="98" t="s">
        <v>231</v>
      </c>
      <c r="D14" s="99">
        <f>'Bourgeoisies Comptes 2023'!R50</f>
        <v>0</v>
      </c>
    </row>
    <row r="15" spans="1:4" x14ac:dyDescent="0.2">
      <c r="A15" s="98">
        <v>366</v>
      </c>
      <c r="B15" s="102" t="s">
        <v>221</v>
      </c>
      <c r="C15" s="98" t="s">
        <v>228</v>
      </c>
      <c r="D15" s="99">
        <f>'Bourgeoisies Comptes 2023'!R51</f>
        <v>0</v>
      </c>
    </row>
    <row r="16" spans="1:4" x14ac:dyDescent="0.2">
      <c r="A16" s="98">
        <v>389</v>
      </c>
      <c r="B16" s="102" t="s">
        <v>221</v>
      </c>
      <c r="C16" s="98" t="s">
        <v>224</v>
      </c>
      <c r="D16" s="99">
        <f>'Bourgeoisies Comptes 2023'!R63</f>
        <v>1406.69</v>
      </c>
    </row>
    <row r="17" spans="1:4" x14ac:dyDescent="0.2">
      <c r="A17" s="98">
        <v>4490</v>
      </c>
      <c r="B17" s="102" t="s">
        <v>222</v>
      </c>
      <c r="C17" s="98" t="s">
        <v>232</v>
      </c>
      <c r="D17" s="99">
        <f>'Bourgeoisies Comptes 2023'!R116</f>
        <v>-87.35</v>
      </c>
    </row>
    <row r="18" spans="1:4" x14ac:dyDescent="0.2">
      <c r="A18" s="98">
        <v>489</v>
      </c>
      <c r="B18" s="102" t="s">
        <v>222</v>
      </c>
      <c r="C18" s="98" t="s">
        <v>229</v>
      </c>
      <c r="D18" s="99">
        <f>'Bourgeoisies Comptes 2023'!R139</f>
        <v>0</v>
      </c>
    </row>
    <row r="19" spans="1:4" x14ac:dyDescent="0.2">
      <c r="A19" s="98"/>
      <c r="B19" s="102"/>
      <c r="C19" s="98"/>
      <c r="D19" s="99"/>
    </row>
    <row r="20" spans="1:4" ht="15" x14ac:dyDescent="0.25">
      <c r="A20" s="103"/>
      <c r="B20" s="103"/>
      <c r="C20" s="100" t="s">
        <v>225</v>
      </c>
      <c r="D20" s="101">
        <f>D9+D10+D11-D12+D13+D14+D15+D16-D17-D18</f>
        <v>688066.82999999984</v>
      </c>
    </row>
    <row r="21" spans="1:4" x14ac:dyDescent="0.2">
      <c r="A21" s="98"/>
      <c r="B21" s="98"/>
      <c r="C21" s="98"/>
      <c r="D21" s="99"/>
    </row>
    <row r="22" spans="1:4" x14ac:dyDescent="0.2">
      <c r="A22" s="98" t="s">
        <v>220</v>
      </c>
      <c r="B22" s="104" t="s">
        <v>222</v>
      </c>
      <c r="C22" s="98" t="s">
        <v>226</v>
      </c>
      <c r="D22" s="99">
        <f>'Bourgeoisie investissement'!R183</f>
        <v>480606.3</v>
      </c>
    </row>
    <row r="23" spans="1:4" x14ac:dyDescent="0.2">
      <c r="A23" s="98"/>
      <c r="B23" s="98"/>
      <c r="C23" s="98"/>
      <c r="D23" s="99"/>
    </row>
    <row r="24" spans="1:4" ht="15" x14ac:dyDescent="0.25">
      <c r="A24" s="103"/>
      <c r="B24" s="103"/>
      <c r="C24" s="100" t="s">
        <v>227</v>
      </c>
      <c r="D24" s="101">
        <f>D20-D22</f>
        <v>207460.52999999985</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2" t="s">
        <v>777</v>
      </c>
    </row>
    <row r="5" spans="1:5" ht="15" thickBot="1" x14ac:dyDescent="0.25">
      <c r="B5" s="222" t="s">
        <v>736</v>
      </c>
      <c r="C5" s="222"/>
      <c r="D5" s="222"/>
    </row>
    <row r="6" spans="1:5" ht="15.75" thickBot="1" x14ac:dyDescent="0.3">
      <c r="B6" s="219" t="s">
        <v>56</v>
      </c>
      <c r="C6" s="220"/>
      <c r="D6" s="221"/>
    </row>
    <row r="8" spans="1:5" ht="15" x14ac:dyDescent="0.25">
      <c r="B8" s="96" t="s">
        <v>219</v>
      </c>
      <c r="C8" s="96"/>
      <c r="D8" s="96" t="s">
        <v>197</v>
      </c>
      <c r="E8" s="96" t="s">
        <v>198</v>
      </c>
    </row>
    <row r="9" spans="1:5" x14ac:dyDescent="0.2">
      <c r="B9" s="98">
        <v>90</v>
      </c>
      <c r="C9" s="102"/>
      <c r="D9" s="98" t="s">
        <v>776</v>
      </c>
      <c r="E9" s="99">
        <f>HLOOKUP($B$6,'Bourgeoisies Comptes 2023'!$E$4:$R$168,151,0)</f>
        <v>31556.67</v>
      </c>
    </row>
    <row r="10" spans="1:5" x14ac:dyDescent="0.2">
      <c r="B10" s="98">
        <v>33</v>
      </c>
      <c r="C10" s="102" t="s">
        <v>221</v>
      </c>
      <c r="D10" s="98" t="s">
        <v>94</v>
      </c>
      <c r="E10" s="99">
        <f>HLOOKUP($B$6,'Bourgeoisies Comptes 2023'!$E$4:$R$168,25,0)</f>
        <v>2709.45</v>
      </c>
    </row>
    <row r="11" spans="1:5" x14ac:dyDescent="0.2">
      <c r="B11" s="98">
        <v>35</v>
      </c>
      <c r="C11" s="102" t="s">
        <v>221</v>
      </c>
      <c r="D11" s="98" t="s">
        <v>223</v>
      </c>
      <c r="E11" s="99">
        <f>HLOOKUP($B$6,'Bourgeoisies Comptes 2023'!$E$4:$R$168,37,0)</f>
        <v>2289.71</v>
      </c>
    </row>
    <row r="12" spans="1:5" x14ac:dyDescent="0.2">
      <c r="B12" s="98">
        <v>45</v>
      </c>
      <c r="C12" s="102" t="s">
        <v>222</v>
      </c>
      <c r="D12" s="98" t="s">
        <v>170</v>
      </c>
      <c r="E12" s="99">
        <f>HLOOKUP($B$6,'Bourgeoisies Comptes 2023'!$E$4:$R$168,115,0)</f>
        <v>0</v>
      </c>
    </row>
    <row r="13" spans="1:5" x14ac:dyDescent="0.2">
      <c r="B13" s="98">
        <v>364</v>
      </c>
      <c r="C13" s="102" t="s">
        <v>221</v>
      </c>
      <c r="D13" s="98" t="s">
        <v>230</v>
      </c>
      <c r="E13" s="99">
        <f>HLOOKUP($B$6,'Bourgeoisies Comptes 2023'!$E$4:$R$168,46,0)</f>
        <v>0</v>
      </c>
    </row>
    <row r="14" spans="1:5" x14ac:dyDescent="0.2">
      <c r="B14" s="98">
        <v>365</v>
      </c>
      <c r="C14" s="102" t="s">
        <v>221</v>
      </c>
      <c r="D14" s="98" t="s">
        <v>231</v>
      </c>
      <c r="E14" s="99">
        <f>HLOOKUP($B$6,'Bourgeoisies Comptes 2023'!$E$4:$R$168,47,0)</f>
        <v>0</v>
      </c>
    </row>
    <row r="15" spans="1:5" x14ac:dyDescent="0.2">
      <c r="B15" s="98">
        <v>366</v>
      </c>
      <c r="C15" s="102" t="s">
        <v>221</v>
      </c>
      <c r="D15" s="98" t="s">
        <v>228</v>
      </c>
      <c r="E15" s="99">
        <f>HLOOKUP($B$6,'Bourgeoisies Comptes 2023'!$E$4:$R$168,48,0)</f>
        <v>0</v>
      </c>
    </row>
    <row r="16" spans="1:5" x14ac:dyDescent="0.2">
      <c r="B16" s="98">
        <v>389</v>
      </c>
      <c r="C16" s="102" t="s">
        <v>221</v>
      </c>
      <c r="D16" s="98" t="s">
        <v>224</v>
      </c>
      <c r="E16" s="99">
        <f>HLOOKUP($B$6,'Bourgeoisies Comptes 2023'!$E$4:$R$168,60,0)</f>
        <v>0</v>
      </c>
    </row>
    <row r="17" spans="2:5" x14ac:dyDescent="0.2">
      <c r="B17" s="98">
        <v>4490</v>
      </c>
      <c r="C17" s="102" t="s">
        <v>222</v>
      </c>
      <c r="D17" s="98" t="s">
        <v>232</v>
      </c>
      <c r="E17" s="99">
        <f>HLOOKUP($B$6,'Bourgeoisies Comptes 2023'!$E$4:$R$168,113,0)</f>
        <v>0</v>
      </c>
    </row>
    <row r="18" spans="2:5" x14ac:dyDescent="0.2">
      <c r="B18" s="98">
        <v>489</v>
      </c>
      <c r="C18" s="102" t="s">
        <v>222</v>
      </c>
      <c r="D18" s="98" t="s">
        <v>229</v>
      </c>
      <c r="E18" s="99">
        <f>HLOOKUP($B$6,'Bourgeoisies Comptes 2023'!$E$4:$R$168,136,0)</f>
        <v>0</v>
      </c>
    </row>
    <row r="19" spans="2:5" x14ac:dyDescent="0.2">
      <c r="B19" s="98"/>
      <c r="C19" s="102"/>
      <c r="D19" s="98"/>
      <c r="E19" s="99"/>
    </row>
    <row r="20" spans="2:5" ht="15" x14ac:dyDescent="0.25">
      <c r="B20" s="103"/>
      <c r="C20" s="103"/>
      <c r="D20" s="100" t="s">
        <v>225</v>
      </c>
      <c r="E20" s="101">
        <f>E9+E10+E11-E12+E13+E14+E15+E16-E17-E18</f>
        <v>36555.829999999994</v>
      </c>
    </row>
    <row r="21" spans="2:5" x14ac:dyDescent="0.2">
      <c r="B21" s="98"/>
      <c r="C21" s="98"/>
      <c r="D21" s="98"/>
      <c r="E21" s="99"/>
    </row>
    <row r="22" spans="2:5" x14ac:dyDescent="0.2">
      <c r="B22" s="98" t="s">
        <v>220</v>
      </c>
      <c r="C22" s="104" t="s">
        <v>222</v>
      </c>
      <c r="D22" s="98" t="s">
        <v>226</v>
      </c>
      <c r="E22" s="99">
        <f>HLOOKUP($B$6,'Bourgeoisie investissement'!$E$4:$R$184,180,0)</f>
        <v>0</v>
      </c>
    </row>
    <row r="23" spans="2:5" x14ac:dyDescent="0.2">
      <c r="B23" s="98"/>
      <c r="C23" s="98"/>
      <c r="D23" s="98"/>
      <c r="E23" s="99"/>
    </row>
    <row r="24" spans="2:5" ht="15" x14ac:dyDescent="0.25">
      <c r="B24" s="103"/>
      <c r="C24" s="103"/>
      <c r="D24" s="100" t="s">
        <v>227</v>
      </c>
      <c r="E24" s="101">
        <f>E20-E22</f>
        <v>36555.829999999994</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31"/>
  <sheetViews>
    <sheetView zoomScaleNormal="100" workbookViewId="0">
      <pane xSplit="5" ySplit="4" topLeftCell="H183"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2" t="s">
        <v>863</v>
      </c>
      <c r="B2" s="7"/>
      <c r="C2" s="7"/>
      <c r="D2" s="7"/>
      <c r="E2" s="16"/>
    </row>
    <row r="3" spans="1:20" ht="18" x14ac:dyDescent="0.25">
      <c r="A3" s="193" t="s">
        <v>724</v>
      </c>
      <c r="F3" s="9">
        <v>1</v>
      </c>
      <c r="G3" s="9">
        <v>2</v>
      </c>
      <c r="H3" s="9">
        <v>3</v>
      </c>
      <c r="I3" s="9">
        <v>4</v>
      </c>
      <c r="J3" s="9">
        <v>5</v>
      </c>
      <c r="K3" s="9">
        <v>6</v>
      </c>
      <c r="L3" s="9">
        <v>7</v>
      </c>
      <c r="M3" s="9">
        <v>8</v>
      </c>
      <c r="N3" s="9">
        <v>9</v>
      </c>
      <c r="O3" s="9">
        <v>10</v>
      </c>
      <c r="P3" s="9">
        <v>11</v>
      </c>
      <c r="Q3" s="9">
        <v>12</v>
      </c>
      <c r="R3" s="9">
        <v>13</v>
      </c>
      <c r="S3" s="9"/>
    </row>
    <row r="4" spans="1:20" x14ac:dyDescent="0.2">
      <c r="F4" s="90" t="s">
        <v>55</v>
      </c>
      <c r="G4" s="90" t="s">
        <v>17</v>
      </c>
      <c r="H4" s="90" t="s">
        <v>56</v>
      </c>
      <c r="I4" s="90" t="s">
        <v>728</v>
      </c>
      <c r="J4" s="90" t="s">
        <v>32</v>
      </c>
      <c r="K4" s="90" t="s">
        <v>27</v>
      </c>
      <c r="L4" s="90" t="s">
        <v>729</v>
      </c>
      <c r="M4" s="90" t="s">
        <v>15</v>
      </c>
      <c r="N4" s="90" t="s">
        <v>730</v>
      </c>
      <c r="O4" s="90" t="s">
        <v>731</v>
      </c>
      <c r="P4" s="90" t="s">
        <v>58</v>
      </c>
      <c r="Q4" s="90" t="s">
        <v>732</v>
      </c>
      <c r="R4" s="90" t="s">
        <v>733</v>
      </c>
      <c r="S4" s="112" t="s">
        <v>64</v>
      </c>
    </row>
    <row r="5" spans="1:20" ht="20.25" x14ac:dyDescent="0.3">
      <c r="A5" s="114">
        <v>1</v>
      </c>
      <c r="B5" s="114"/>
      <c r="C5" s="114"/>
      <c r="D5" s="114"/>
      <c r="E5" s="114" t="s">
        <v>235</v>
      </c>
      <c r="F5" s="115">
        <f>F7+F15+F25+F31+F41+F48+F54+F62+F69+F80+F86+F97+F108</f>
        <v>10988135.93</v>
      </c>
      <c r="G5" s="115">
        <f t="shared" ref="G5:R5" si="0">G7+G15+G25+G31+G41+G48+G54+G62+G69+G80+G86+G97+G108</f>
        <v>866431.46</v>
      </c>
      <c r="H5" s="115">
        <f t="shared" si="0"/>
        <v>1079499.6200000001</v>
      </c>
      <c r="I5" s="115">
        <f t="shared" si="0"/>
        <v>871930.61</v>
      </c>
      <c r="J5" s="115">
        <f t="shared" si="0"/>
        <v>2698846.91</v>
      </c>
      <c r="K5" s="115">
        <f t="shared" si="0"/>
        <v>34691699.149999999</v>
      </c>
      <c r="L5" s="115">
        <f t="shared" si="0"/>
        <v>1135448.8799999999</v>
      </c>
      <c r="M5" s="115">
        <f t="shared" si="0"/>
        <v>1802737.46</v>
      </c>
      <c r="N5" s="115">
        <f t="shared" si="0"/>
        <v>115984.84</v>
      </c>
      <c r="O5" s="115">
        <f t="shared" si="0"/>
        <v>554769.55000000005</v>
      </c>
      <c r="P5" s="115">
        <f t="shared" si="0"/>
        <v>2653888.8899999997</v>
      </c>
      <c r="Q5" s="115">
        <f t="shared" si="0"/>
        <v>1838473</v>
      </c>
      <c r="R5" s="115">
        <f t="shared" si="0"/>
        <v>2943808.76</v>
      </c>
      <c r="S5" s="115">
        <f t="shared" ref="S5:S13" si="1">SUM(F5:R5)</f>
        <v>62241655.060000002</v>
      </c>
      <c r="T5" s="8">
        <v>2</v>
      </c>
    </row>
    <row r="6" spans="1:20" ht="15" x14ac:dyDescent="0.25">
      <c r="A6" s="16"/>
      <c r="B6" s="116">
        <v>10</v>
      </c>
      <c r="C6" s="116"/>
      <c r="D6" s="116"/>
      <c r="E6" s="116" t="s">
        <v>236</v>
      </c>
      <c r="F6" s="117">
        <f>F7+F15+F25+F31+F41+F48+F54+F62</f>
        <v>8816432.9299999997</v>
      </c>
      <c r="G6" s="117">
        <f t="shared" ref="G6:R6" si="2">G7+G15+G25+G31+G41+G48+G54+G62</f>
        <v>82874.460000000006</v>
      </c>
      <c r="H6" s="117">
        <f t="shared" si="2"/>
        <v>457961.12</v>
      </c>
      <c r="I6" s="117">
        <f t="shared" si="2"/>
        <v>300161.61</v>
      </c>
      <c r="J6" s="117">
        <f t="shared" si="2"/>
        <v>1351832.41</v>
      </c>
      <c r="K6" s="117">
        <f t="shared" si="2"/>
        <v>32187642.100000001</v>
      </c>
      <c r="L6" s="117">
        <f t="shared" si="2"/>
        <v>485878.88</v>
      </c>
      <c r="M6" s="117">
        <f t="shared" si="2"/>
        <v>714119.46</v>
      </c>
      <c r="N6" s="117">
        <f t="shared" si="2"/>
        <v>97870.84</v>
      </c>
      <c r="O6" s="117">
        <f t="shared" si="2"/>
        <v>285059.55</v>
      </c>
      <c r="P6" s="117">
        <f t="shared" si="2"/>
        <v>1419504.74</v>
      </c>
      <c r="Q6" s="117">
        <f t="shared" si="2"/>
        <v>841112.95000000007</v>
      </c>
      <c r="R6" s="117">
        <f t="shared" si="2"/>
        <v>1519252.76</v>
      </c>
      <c r="S6" s="117">
        <f t="shared" si="1"/>
        <v>48559703.81000001</v>
      </c>
      <c r="T6" s="8">
        <v>3</v>
      </c>
    </row>
    <row r="7" spans="1:20" ht="15" x14ac:dyDescent="0.25">
      <c r="A7" s="17"/>
      <c r="B7" s="17"/>
      <c r="C7" s="85">
        <v>100</v>
      </c>
      <c r="D7" s="85"/>
      <c r="E7" s="85" t="s">
        <v>237</v>
      </c>
      <c r="F7" s="107">
        <f>F8+F9+F10+F11+F12+F13</f>
        <v>1518698.96</v>
      </c>
      <c r="G7" s="107">
        <f t="shared" ref="G7:R7" si="3">G8+G9+G10+G11+G12+G13</f>
        <v>72327.61</v>
      </c>
      <c r="H7" s="107">
        <f t="shared" si="3"/>
        <v>155208.59</v>
      </c>
      <c r="I7" s="107">
        <f t="shared" si="3"/>
        <v>299620.11</v>
      </c>
      <c r="J7" s="107">
        <f t="shared" si="3"/>
        <v>624668.15999999992</v>
      </c>
      <c r="K7" s="107">
        <f t="shared" si="3"/>
        <v>984257.8</v>
      </c>
      <c r="L7" s="107">
        <f t="shared" si="3"/>
        <v>252788.63</v>
      </c>
      <c r="M7" s="107">
        <f t="shared" si="3"/>
        <v>635774.06000000006</v>
      </c>
      <c r="N7" s="107">
        <f t="shared" si="3"/>
        <v>97668.84</v>
      </c>
      <c r="O7" s="107">
        <f t="shared" si="3"/>
        <v>267307.55</v>
      </c>
      <c r="P7" s="107">
        <f t="shared" si="3"/>
        <v>807170.87</v>
      </c>
      <c r="Q7" s="107">
        <f t="shared" si="3"/>
        <v>106531.2</v>
      </c>
      <c r="R7" s="107">
        <f t="shared" si="3"/>
        <v>252720.03</v>
      </c>
      <c r="S7" s="107">
        <f t="shared" si="1"/>
        <v>6074742.4100000001</v>
      </c>
      <c r="T7" s="8">
        <v>4</v>
      </c>
    </row>
    <row r="8" spans="1:20" ht="15" x14ac:dyDescent="0.25">
      <c r="D8" s="8">
        <v>1000</v>
      </c>
      <c r="E8" s="8" t="s">
        <v>307</v>
      </c>
      <c r="F8" s="13">
        <v>1260.45</v>
      </c>
      <c r="G8" s="13">
        <v>229.25</v>
      </c>
      <c r="H8" s="13">
        <v>278.17</v>
      </c>
      <c r="I8" s="13">
        <v>884.2</v>
      </c>
      <c r="J8" s="13">
        <v>628.29999999999995</v>
      </c>
      <c r="K8" s="13">
        <v>2080.6999999999998</v>
      </c>
      <c r="L8" s="13">
        <v>0</v>
      </c>
      <c r="M8" s="13">
        <v>210.95</v>
      </c>
      <c r="N8" s="13">
        <v>97</v>
      </c>
      <c r="O8" s="13">
        <v>3067</v>
      </c>
      <c r="P8" s="13">
        <v>957.65</v>
      </c>
      <c r="Q8" s="13">
        <v>389.85</v>
      </c>
      <c r="R8" s="13">
        <v>0</v>
      </c>
      <c r="S8" s="95">
        <f t="shared" si="1"/>
        <v>10083.52</v>
      </c>
      <c r="T8" s="8">
        <v>5</v>
      </c>
    </row>
    <row r="9" spans="1:20" ht="15" x14ac:dyDescent="0.25">
      <c r="D9" s="8">
        <v>1001</v>
      </c>
      <c r="E9" s="8" t="s">
        <v>308</v>
      </c>
      <c r="F9" s="13">
        <v>1199.71</v>
      </c>
      <c r="G9" s="13">
        <v>0</v>
      </c>
      <c r="H9" s="13">
        <v>37623.64</v>
      </c>
      <c r="I9" s="13">
        <v>0</v>
      </c>
      <c r="J9" s="13">
        <v>53697.46</v>
      </c>
      <c r="K9" s="13">
        <v>9679.7900000000009</v>
      </c>
      <c r="L9" s="13">
        <v>217023.23</v>
      </c>
      <c r="M9" s="13">
        <v>69060</v>
      </c>
      <c r="N9" s="13">
        <v>15883.83</v>
      </c>
      <c r="O9" s="13">
        <v>60201.31</v>
      </c>
      <c r="P9" s="13">
        <v>0</v>
      </c>
      <c r="Q9" s="13">
        <v>13788.73</v>
      </c>
      <c r="R9" s="13">
        <v>0</v>
      </c>
      <c r="S9" s="95">
        <f t="shared" si="1"/>
        <v>478157.7</v>
      </c>
      <c r="T9" s="8">
        <v>6</v>
      </c>
    </row>
    <row r="10" spans="1:20" ht="15" x14ac:dyDescent="0.25">
      <c r="D10" s="8">
        <v>1002</v>
      </c>
      <c r="E10" s="8" t="s">
        <v>316</v>
      </c>
      <c r="F10" s="13">
        <v>1512039.25</v>
      </c>
      <c r="G10" s="13">
        <v>72098.42</v>
      </c>
      <c r="H10" s="13">
        <v>117306.78</v>
      </c>
      <c r="I10" s="13">
        <v>298735.90999999997</v>
      </c>
      <c r="J10" s="13">
        <v>500101.2</v>
      </c>
      <c r="K10" s="13">
        <v>972497.31</v>
      </c>
      <c r="L10" s="13">
        <v>26656.3</v>
      </c>
      <c r="M10" s="13">
        <v>560701.18000000005</v>
      </c>
      <c r="N10" s="13">
        <v>81688.009999999995</v>
      </c>
      <c r="O10" s="13">
        <v>204039.24</v>
      </c>
      <c r="P10" s="13">
        <v>806213.22</v>
      </c>
      <c r="Q10" s="13">
        <v>92352.62</v>
      </c>
      <c r="R10" s="13">
        <v>252720.03</v>
      </c>
      <c r="S10" s="95">
        <f t="shared" si="1"/>
        <v>5497149.4699999997</v>
      </c>
      <c r="T10" s="8">
        <v>7</v>
      </c>
    </row>
    <row r="11" spans="1:20" ht="15" x14ac:dyDescent="0.25">
      <c r="D11" s="8">
        <v>1003</v>
      </c>
      <c r="E11" s="8" t="s">
        <v>309</v>
      </c>
      <c r="F11" s="13">
        <v>0</v>
      </c>
      <c r="G11" s="13">
        <v>0</v>
      </c>
      <c r="H11" s="13">
        <v>0</v>
      </c>
      <c r="I11" s="13">
        <v>0</v>
      </c>
      <c r="J11" s="13">
        <v>70241.2</v>
      </c>
      <c r="K11" s="13">
        <v>0</v>
      </c>
      <c r="L11" s="13">
        <v>0</v>
      </c>
      <c r="M11" s="13">
        <v>5801.93</v>
      </c>
      <c r="N11" s="13">
        <v>0</v>
      </c>
      <c r="O11" s="13">
        <v>0</v>
      </c>
      <c r="P11" s="13">
        <v>0</v>
      </c>
      <c r="Q11" s="13">
        <v>0</v>
      </c>
      <c r="R11" s="13">
        <v>0</v>
      </c>
      <c r="S11" s="95">
        <f t="shared" si="1"/>
        <v>76043.13</v>
      </c>
      <c r="T11" s="8">
        <v>8</v>
      </c>
    </row>
    <row r="12" spans="1:20" ht="15" x14ac:dyDescent="0.25">
      <c r="D12" s="8">
        <v>1004</v>
      </c>
      <c r="E12" s="8" t="s">
        <v>310</v>
      </c>
      <c r="F12" s="13">
        <v>4199.55</v>
      </c>
      <c r="G12" s="13">
        <v>0</v>
      </c>
      <c r="H12" s="13">
        <v>0</v>
      </c>
      <c r="I12" s="13">
        <v>0</v>
      </c>
      <c r="J12" s="13">
        <v>0</v>
      </c>
      <c r="K12" s="13">
        <v>0</v>
      </c>
      <c r="L12" s="13">
        <v>0</v>
      </c>
      <c r="M12" s="13">
        <v>0</v>
      </c>
      <c r="N12" s="13">
        <v>0</v>
      </c>
      <c r="O12" s="13">
        <v>0</v>
      </c>
      <c r="P12" s="13">
        <v>0</v>
      </c>
      <c r="Q12" s="13">
        <v>0</v>
      </c>
      <c r="R12" s="13">
        <v>0</v>
      </c>
      <c r="S12" s="95">
        <f t="shared" si="1"/>
        <v>4199.55</v>
      </c>
      <c r="T12" s="8">
        <v>9</v>
      </c>
    </row>
    <row r="13" spans="1:20" ht="15" x14ac:dyDescent="0.25">
      <c r="D13" s="8">
        <v>1009</v>
      </c>
      <c r="E13" s="8" t="s">
        <v>311</v>
      </c>
      <c r="F13" s="13">
        <v>0</v>
      </c>
      <c r="G13" s="13">
        <v>-0.06</v>
      </c>
      <c r="H13" s="13">
        <v>0</v>
      </c>
      <c r="I13" s="13">
        <v>0</v>
      </c>
      <c r="J13" s="13">
        <v>0</v>
      </c>
      <c r="K13" s="13">
        <v>0</v>
      </c>
      <c r="L13" s="13">
        <v>9109.1</v>
      </c>
      <c r="M13" s="13">
        <v>0</v>
      </c>
      <c r="N13" s="13">
        <v>0</v>
      </c>
      <c r="O13" s="13">
        <v>0</v>
      </c>
      <c r="P13" s="13">
        <v>0</v>
      </c>
      <c r="Q13" s="13">
        <v>0</v>
      </c>
      <c r="R13" s="13">
        <v>0</v>
      </c>
      <c r="S13" s="95">
        <f t="shared" si="1"/>
        <v>9109.0400000000009</v>
      </c>
      <c r="T13" s="8">
        <v>10</v>
      </c>
    </row>
    <row r="14" spans="1:20" ht="15" x14ac:dyDescent="0.25">
      <c r="F14" s="13"/>
      <c r="G14" s="13"/>
      <c r="H14" s="13"/>
      <c r="I14" s="13"/>
      <c r="J14" s="13"/>
      <c r="K14" s="13"/>
      <c r="L14" s="13"/>
      <c r="M14" s="13"/>
      <c r="N14" s="13"/>
      <c r="O14" s="13"/>
      <c r="P14" s="13"/>
      <c r="Q14" s="13"/>
      <c r="R14" s="13"/>
      <c r="S14" s="95"/>
      <c r="T14" s="8">
        <v>11</v>
      </c>
    </row>
    <row r="15" spans="1:20" ht="15" x14ac:dyDescent="0.25">
      <c r="A15" s="17"/>
      <c r="B15" s="17"/>
      <c r="C15" s="85">
        <v>101</v>
      </c>
      <c r="D15" s="85"/>
      <c r="E15" s="85" t="s">
        <v>238</v>
      </c>
      <c r="F15" s="107">
        <f>F16+F17+F18+F19+F20+F21+F22+F23</f>
        <v>49243.519999999997</v>
      </c>
      <c r="G15" s="107">
        <f t="shared" ref="G15:R15" si="4">G16+G17+G18+G19+G20+G21+G22+G23</f>
        <v>10546.85</v>
      </c>
      <c r="H15" s="107">
        <f t="shared" si="4"/>
        <v>5.43</v>
      </c>
      <c r="I15" s="107">
        <f t="shared" si="4"/>
        <v>0</v>
      </c>
      <c r="J15" s="107">
        <f t="shared" si="4"/>
        <v>21633.75</v>
      </c>
      <c r="K15" s="107">
        <f t="shared" si="4"/>
        <v>4230440.25</v>
      </c>
      <c r="L15" s="107">
        <f t="shared" si="4"/>
        <v>7200</v>
      </c>
      <c r="M15" s="107">
        <f t="shared" si="4"/>
        <v>-773.68000000000006</v>
      </c>
      <c r="N15" s="107">
        <f t="shared" si="4"/>
        <v>0</v>
      </c>
      <c r="O15" s="107">
        <f t="shared" si="4"/>
        <v>0</v>
      </c>
      <c r="P15" s="107">
        <f t="shared" si="4"/>
        <v>0.32</v>
      </c>
      <c r="Q15" s="107">
        <f t="shared" si="4"/>
        <v>0</v>
      </c>
      <c r="R15" s="107">
        <f t="shared" si="4"/>
        <v>53039</v>
      </c>
      <c r="S15" s="107">
        <f t="shared" ref="S15:S23" si="5">SUM(F15:R15)</f>
        <v>4371335.4400000004</v>
      </c>
      <c r="T15" s="8">
        <v>12</v>
      </c>
    </row>
    <row r="16" spans="1:20" ht="15" x14ac:dyDescent="0.25">
      <c r="D16" s="8">
        <v>1010</v>
      </c>
      <c r="E16" s="8" t="s">
        <v>312</v>
      </c>
      <c r="F16" s="13">
        <v>47854.2</v>
      </c>
      <c r="G16" s="13">
        <v>10546.85</v>
      </c>
      <c r="H16" s="13">
        <v>0</v>
      </c>
      <c r="I16" s="13">
        <v>0</v>
      </c>
      <c r="J16" s="13">
        <v>21633.75</v>
      </c>
      <c r="K16" s="13">
        <v>-9722.75</v>
      </c>
      <c r="L16" s="13">
        <v>0</v>
      </c>
      <c r="M16" s="13">
        <v>-308.93</v>
      </c>
      <c r="N16" s="13">
        <v>0</v>
      </c>
      <c r="O16" s="13">
        <v>0</v>
      </c>
      <c r="P16" s="13">
        <v>0.32</v>
      </c>
      <c r="Q16" s="13">
        <v>0</v>
      </c>
      <c r="R16" s="13">
        <v>53039</v>
      </c>
      <c r="S16" s="95">
        <f t="shared" si="5"/>
        <v>123042.44</v>
      </c>
      <c r="T16" s="8">
        <v>13</v>
      </c>
    </row>
    <row r="17" spans="3:20" ht="15" x14ac:dyDescent="0.25">
      <c r="D17" s="8">
        <v>1011</v>
      </c>
      <c r="E17" s="8" t="s">
        <v>393</v>
      </c>
      <c r="F17" s="13">
        <v>0</v>
      </c>
      <c r="G17" s="13">
        <v>0</v>
      </c>
      <c r="H17" s="13">
        <v>0</v>
      </c>
      <c r="I17" s="13">
        <v>0</v>
      </c>
      <c r="J17" s="13">
        <v>0</v>
      </c>
      <c r="K17" s="13">
        <v>4240163</v>
      </c>
      <c r="L17" s="13">
        <v>7200</v>
      </c>
      <c r="M17" s="13">
        <v>0</v>
      </c>
      <c r="N17" s="13">
        <v>0</v>
      </c>
      <c r="O17" s="13">
        <v>0</v>
      </c>
      <c r="P17" s="13">
        <v>0</v>
      </c>
      <c r="Q17" s="13">
        <v>0</v>
      </c>
      <c r="R17" s="13">
        <v>0</v>
      </c>
      <c r="S17" s="95">
        <f t="shared" si="5"/>
        <v>4247363</v>
      </c>
      <c r="T17" s="8">
        <v>14</v>
      </c>
    </row>
    <row r="18" spans="3:20"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95">
        <f t="shared" si="5"/>
        <v>0</v>
      </c>
      <c r="T18" s="8">
        <v>15</v>
      </c>
    </row>
    <row r="19" spans="3:2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95">
        <f t="shared" si="5"/>
        <v>0</v>
      </c>
      <c r="T19" s="8">
        <v>16</v>
      </c>
    </row>
    <row r="20" spans="3:2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95">
        <f t="shared" si="5"/>
        <v>0</v>
      </c>
      <c r="T20" s="8">
        <v>17</v>
      </c>
    </row>
    <row r="21" spans="3:20"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95">
        <f t="shared" si="5"/>
        <v>0</v>
      </c>
      <c r="T21" s="8">
        <v>18</v>
      </c>
    </row>
    <row r="22" spans="3:2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95">
        <f t="shared" si="5"/>
        <v>0</v>
      </c>
      <c r="T22" s="8">
        <v>19</v>
      </c>
    </row>
    <row r="23" spans="3:20" ht="15" x14ac:dyDescent="0.25">
      <c r="D23" s="8">
        <v>1019</v>
      </c>
      <c r="E23" s="8" t="s">
        <v>319</v>
      </c>
      <c r="F23" s="13">
        <v>1389.32</v>
      </c>
      <c r="G23" s="13">
        <v>0</v>
      </c>
      <c r="H23" s="13">
        <v>5.43</v>
      </c>
      <c r="I23" s="13">
        <v>0</v>
      </c>
      <c r="J23" s="13">
        <v>0</v>
      </c>
      <c r="K23" s="13">
        <v>0</v>
      </c>
      <c r="L23" s="13">
        <v>0</v>
      </c>
      <c r="M23" s="13">
        <v>-464.75</v>
      </c>
      <c r="N23" s="13">
        <v>0</v>
      </c>
      <c r="O23" s="13">
        <v>0</v>
      </c>
      <c r="P23" s="13">
        <v>0</v>
      </c>
      <c r="Q23" s="13">
        <v>0</v>
      </c>
      <c r="R23" s="13">
        <v>0</v>
      </c>
      <c r="S23" s="95">
        <f t="shared" si="5"/>
        <v>930</v>
      </c>
      <c r="T23" s="8">
        <v>20</v>
      </c>
    </row>
    <row r="24" spans="3:20" ht="15" x14ac:dyDescent="0.25">
      <c r="F24" s="13"/>
      <c r="G24" s="13"/>
      <c r="H24" s="13"/>
      <c r="I24" s="13"/>
      <c r="J24" s="13"/>
      <c r="K24" s="13"/>
      <c r="L24" s="13"/>
      <c r="M24" s="13"/>
      <c r="N24" s="13"/>
      <c r="O24" s="13"/>
      <c r="P24" s="13"/>
      <c r="Q24" s="13"/>
      <c r="R24" s="13"/>
      <c r="S24" s="95"/>
      <c r="T24" s="8">
        <v>21</v>
      </c>
    </row>
    <row r="25" spans="3:20" ht="15" x14ac:dyDescent="0.25">
      <c r="C25" s="85">
        <v>102</v>
      </c>
      <c r="D25" s="85"/>
      <c r="E25" s="85" t="s">
        <v>239</v>
      </c>
      <c r="F25" s="107">
        <f>F26+F27+F28+F29</f>
        <v>0</v>
      </c>
      <c r="G25" s="107">
        <f t="shared" ref="G25:R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190000</v>
      </c>
      <c r="S25" s="107">
        <f>SUM(F25:R25)</f>
        <v>190000</v>
      </c>
      <c r="T25" s="8">
        <v>22</v>
      </c>
    </row>
    <row r="26" spans="3:2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190000</v>
      </c>
      <c r="S26" s="95">
        <f>SUM(F26:R26)</f>
        <v>190000</v>
      </c>
      <c r="T26" s="8">
        <v>23</v>
      </c>
    </row>
    <row r="27" spans="3:2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95">
        <f>SUM(F27:R27)</f>
        <v>0</v>
      </c>
      <c r="T27" s="8">
        <v>24</v>
      </c>
    </row>
    <row r="28" spans="3:2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95">
        <f>SUM(F28:R28)</f>
        <v>0</v>
      </c>
      <c r="T28" s="8">
        <v>25</v>
      </c>
    </row>
    <row r="29" spans="3:2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95">
        <f>SUM(F29:R29)</f>
        <v>0</v>
      </c>
      <c r="T29" s="8">
        <v>26</v>
      </c>
    </row>
    <row r="30" spans="3:20" ht="15" x14ac:dyDescent="0.25">
      <c r="F30" s="13"/>
      <c r="G30" s="13"/>
      <c r="H30" s="13"/>
      <c r="I30" s="13"/>
      <c r="J30" s="13"/>
      <c r="K30" s="13"/>
      <c r="L30" s="13"/>
      <c r="M30" s="13"/>
      <c r="N30" s="13"/>
      <c r="O30" s="13"/>
      <c r="P30" s="13"/>
      <c r="Q30" s="13"/>
      <c r="R30" s="13"/>
      <c r="S30" s="95"/>
      <c r="T30" s="8">
        <v>27</v>
      </c>
    </row>
    <row r="31" spans="3:20" ht="15" x14ac:dyDescent="0.25">
      <c r="C31" s="85">
        <v>104</v>
      </c>
      <c r="D31" s="85"/>
      <c r="E31" s="85" t="s">
        <v>240</v>
      </c>
      <c r="F31" s="107">
        <f>F32+F33+F34+F35+F36+F37+F38+F39</f>
        <v>48758.400000000001</v>
      </c>
      <c r="G31" s="107">
        <f t="shared" ref="G31:R31" si="7">G32+G33+G34+G35+G36+G37+G38+G39</f>
        <v>0</v>
      </c>
      <c r="H31" s="107">
        <f t="shared" si="7"/>
        <v>28045.1</v>
      </c>
      <c r="I31" s="107">
        <f t="shared" si="7"/>
        <v>535.5</v>
      </c>
      <c r="J31" s="107">
        <f t="shared" si="7"/>
        <v>11.95</v>
      </c>
      <c r="K31" s="107">
        <f t="shared" si="7"/>
        <v>41194.050000000003</v>
      </c>
      <c r="L31" s="107">
        <f t="shared" si="7"/>
        <v>2716.2</v>
      </c>
      <c r="M31" s="107">
        <f t="shared" si="7"/>
        <v>42918.080000000002</v>
      </c>
      <c r="N31" s="107">
        <f t="shared" si="7"/>
        <v>0</v>
      </c>
      <c r="O31" s="107">
        <f t="shared" si="7"/>
        <v>0</v>
      </c>
      <c r="P31" s="107">
        <f t="shared" si="7"/>
        <v>2581.5500000000002</v>
      </c>
      <c r="Q31" s="107">
        <f t="shared" si="7"/>
        <v>22371.7</v>
      </c>
      <c r="R31" s="107">
        <f t="shared" si="7"/>
        <v>17018.7</v>
      </c>
      <c r="S31" s="107">
        <f t="shared" ref="S31:S39" si="8">SUM(F31:R31)</f>
        <v>206151.23</v>
      </c>
      <c r="T31" s="8">
        <v>28</v>
      </c>
    </row>
    <row r="32" spans="3:20" ht="15" x14ac:dyDescent="0.25">
      <c r="D32" s="8">
        <v>1040</v>
      </c>
      <c r="E32" s="8" t="s">
        <v>60</v>
      </c>
      <c r="F32" s="13">
        <v>0</v>
      </c>
      <c r="G32" s="13">
        <v>0</v>
      </c>
      <c r="H32" s="13">
        <v>0</v>
      </c>
      <c r="I32" s="13">
        <v>0</v>
      </c>
      <c r="J32" s="13">
        <v>11.95</v>
      </c>
      <c r="K32" s="13">
        <v>0</v>
      </c>
      <c r="L32" s="13">
        <v>0</v>
      </c>
      <c r="M32" s="13">
        <v>0</v>
      </c>
      <c r="N32" s="13">
        <v>0</v>
      </c>
      <c r="O32" s="13">
        <v>0</v>
      </c>
      <c r="P32" s="13">
        <v>0</v>
      </c>
      <c r="Q32" s="13">
        <v>0</v>
      </c>
      <c r="R32" s="13">
        <v>0</v>
      </c>
      <c r="S32" s="95">
        <f t="shared" si="8"/>
        <v>11.95</v>
      </c>
      <c r="T32" s="8">
        <v>29</v>
      </c>
    </row>
    <row r="33" spans="3:20" ht="15" x14ac:dyDescent="0.25">
      <c r="D33" s="8">
        <v>1041</v>
      </c>
      <c r="E33" s="8" t="s">
        <v>324</v>
      </c>
      <c r="F33" s="13">
        <v>48758.400000000001</v>
      </c>
      <c r="G33" s="13">
        <v>0</v>
      </c>
      <c r="H33" s="13">
        <v>0</v>
      </c>
      <c r="I33" s="13">
        <v>0</v>
      </c>
      <c r="J33" s="13">
        <v>0</v>
      </c>
      <c r="K33" s="13">
        <v>37301.300000000003</v>
      </c>
      <c r="L33" s="13">
        <v>0</v>
      </c>
      <c r="M33" s="13">
        <v>0</v>
      </c>
      <c r="N33" s="13">
        <v>0</v>
      </c>
      <c r="O33" s="13">
        <v>0</v>
      </c>
      <c r="P33" s="13">
        <v>0</v>
      </c>
      <c r="Q33" s="13">
        <v>22371.7</v>
      </c>
      <c r="R33" s="13">
        <v>0</v>
      </c>
      <c r="S33" s="95">
        <f t="shared" si="8"/>
        <v>108431.40000000001</v>
      </c>
      <c r="T33" s="8">
        <v>30</v>
      </c>
    </row>
    <row r="34" spans="3:20"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95">
        <f t="shared" si="8"/>
        <v>0</v>
      </c>
      <c r="T34" s="8">
        <v>31</v>
      </c>
    </row>
    <row r="35" spans="3:20" ht="15" x14ac:dyDescent="0.25">
      <c r="D35" s="8">
        <v>1043</v>
      </c>
      <c r="E35" s="8" t="s">
        <v>326</v>
      </c>
      <c r="F35" s="13">
        <v>0</v>
      </c>
      <c r="G35" s="13">
        <v>0</v>
      </c>
      <c r="H35" s="13">
        <v>28045.1</v>
      </c>
      <c r="I35" s="13">
        <v>0</v>
      </c>
      <c r="J35" s="13">
        <v>0</v>
      </c>
      <c r="K35" s="13">
        <v>0</v>
      </c>
      <c r="L35" s="13">
        <v>0</v>
      </c>
      <c r="M35" s="13">
        <v>0</v>
      </c>
      <c r="N35" s="13">
        <v>0</v>
      </c>
      <c r="O35" s="13">
        <v>0</v>
      </c>
      <c r="P35" s="13">
        <v>0</v>
      </c>
      <c r="Q35" s="13">
        <v>0</v>
      </c>
      <c r="R35" s="13">
        <v>0</v>
      </c>
      <c r="S35" s="95">
        <f t="shared" si="8"/>
        <v>28045.1</v>
      </c>
      <c r="T35" s="8">
        <v>32</v>
      </c>
    </row>
    <row r="36" spans="3:20" ht="15" x14ac:dyDescent="0.25">
      <c r="D36" s="8">
        <v>1044</v>
      </c>
      <c r="E36" s="8" t="s">
        <v>327</v>
      </c>
      <c r="F36" s="13">
        <v>0</v>
      </c>
      <c r="G36" s="13">
        <v>0</v>
      </c>
      <c r="H36" s="13">
        <v>0</v>
      </c>
      <c r="I36" s="13">
        <v>0</v>
      </c>
      <c r="J36" s="13">
        <v>0</v>
      </c>
      <c r="K36" s="13">
        <v>0</v>
      </c>
      <c r="L36" s="13">
        <v>2716.2</v>
      </c>
      <c r="M36" s="13">
        <v>42918.080000000002</v>
      </c>
      <c r="N36" s="13">
        <v>0</v>
      </c>
      <c r="O36" s="13">
        <v>0</v>
      </c>
      <c r="P36" s="13">
        <v>0</v>
      </c>
      <c r="Q36" s="13">
        <v>0</v>
      </c>
      <c r="R36" s="13">
        <v>0</v>
      </c>
      <c r="S36" s="95">
        <f t="shared" si="8"/>
        <v>45634.28</v>
      </c>
      <c r="T36" s="8">
        <v>33</v>
      </c>
    </row>
    <row r="37" spans="3:20" ht="15" x14ac:dyDescent="0.25">
      <c r="D37" s="8">
        <v>1045</v>
      </c>
      <c r="E37" s="8" t="s">
        <v>328</v>
      </c>
      <c r="F37" s="13">
        <v>0</v>
      </c>
      <c r="G37" s="13">
        <v>0</v>
      </c>
      <c r="H37" s="13">
        <v>0</v>
      </c>
      <c r="I37" s="13">
        <v>0</v>
      </c>
      <c r="J37" s="13">
        <v>0</v>
      </c>
      <c r="K37" s="13">
        <v>0</v>
      </c>
      <c r="L37" s="13">
        <v>0</v>
      </c>
      <c r="M37" s="13">
        <v>0</v>
      </c>
      <c r="N37" s="13">
        <v>0</v>
      </c>
      <c r="O37" s="13">
        <v>0</v>
      </c>
      <c r="P37" s="13">
        <v>0</v>
      </c>
      <c r="Q37" s="13">
        <v>0</v>
      </c>
      <c r="R37" s="13">
        <v>17018.7</v>
      </c>
      <c r="S37" s="95">
        <f t="shared" si="8"/>
        <v>17018.7</v>
      </c>
      <c r="T37" s="8">
        <v>34</v>
      </c>
    </row>
    <row r="38" spans="3:20"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95">
        <f t="shared" si="8"/>
        <v>0</v>
      </c>
      <c r="T38" s="8">
        <v>35</v>
      </c>
    </row>
    <row r="39" spans="3:20" ht="15" x14ac:dyDescent="0.25">
      <c r="D39" s="8">
        <v>1049</v>
      </c>
      <c r="E39" s="8" t="s">
        <v>330</v>
      </c>
      <c r="F39" s="13">
        <v>0</v>
      </c>
      <c r="G39" s="13">
        <v>0</v>
      </c>
      <c r="H39" s="13">
        <v>0</v>
      </c>
      <c r="I39" s="13">
        <v>535.5</v>
      </c>
      <c r="J39" s="13">
        <v>0</v>
      </c>
      <c r="K39" s="13">
        <v>3892.75</v>
      </c>
      <c r="L39" s="13">
        <v>0</v>
      </c>
      <c r="M39" s="13">
        <v>0</v>
      </c>
      <c r="N39" s="13">
        <v>0</v>
      </c>
      <c r="O39" s="13">
        <v>0</v>
      </c>
      <c r="P39" s="13">
        <v>2581.5500000000002</v>
      </c>
      <c r="Q39" s="13">
        <v>0</v>
      </c>
      <c r="R39" s="13">
        <v>0</v>
      </c>
      <c r="S39" s="95">
        <f t="shared" si="8"/>
        <v>7009.8</v>
      </c>
      <c r="T39" s="8">
        <v>36</v>
      </c>
    </row>
    <row r="40" spans="3:20" ht="15" x14ac:dyDescent="0.25">
      <c r="F40" s="13"/>
      <c r="G40" s="13"/>
      <c r="H40" s="13"/>
      <c r="I40" s="13"/>
      <c r="J40" s="13"/>
      <c r="K40" s="13"/>
      <c r="L40" s="13"/>
      <c r="M40" s="13"/>
      <c r="N40" s="13"/>
      <c r="O40" s="13"/>
      <c r="P40" s="13"/>
      <c r="Q40" s="13"/>
      <c r="R40" s="13"/>
      <c r="S40" s="95"/>
      <c r="T40" s="8">
        <v>37</v>
      </c>
    </row>
    <row r="41" spans="3:20" ht="15" x14ac:dyDescent="0.25">
      <c r="C41" s="85">
        <v>106</v>
      </c>
      <c r="D41" s="85"/>
      <c r="E41" s="85" t="s">
        <v>241</v>
      </c>
      <c r="F41" s="107">
        <f>F42+F43+F44+F45+F46</f>
        <v>69486.3</v>
      </c>
      <c r="G41" s="107">
        <f t="shared" ref="G41:R41" si="9">G42+G43+G44+G45+G46</f>
        <v>0</v>
      </c>
      <c r="H41" s="107">
        <f t="shared" si="9"/>
        <v>0</v>
      </c>
      <c r="I41" s="107">
        <f t="shared" si="9"/>
        <v>0</v>
      </c>
      <c r="J41" s="107">
        <f t="shared" si="9"/>
        <v>0</v>
      </c>
      <c r="K41" s="107">
        <f t="shared" si="9"/>
        <v>0</v>
      </c>
      <c r="L41" s="107">
        <f t="shared" si="9"/>
        <v>0</v>
      </c>
      <c r="M41" s="107">
        <f t="shared" si="9"/>
        <v>0</v>
      </c>
      <c r="N41" s="107">
        <f t="shared" si="9"/>
        <v>0</v>
      </c>
      <c r="O41" s="107">
        <f t="shared" si="9"/>
        <v>0</v>
      </c>
      <c r="P41" s="107">
        <f t="shared" si="9"/>
        <v>0</v>
      </c>
      <c r="Q41" s="107">
        <f t="shared" si="9"/>
        <v>0</v>
      </c>
      <c r="R41" s="107">
        <f t="shared" si="9"/>
        <v>0</v>
      </c>
      <c r="S41" s="107">
        <f t="shared" ref="S41:S46" si="10">SUM(F41:R41)</f>
        <v>69486.3</v>
      </c>
      <c r="T41" s="8">
        <v>38</v>
      </c>
    </row>
    <row r="42" spans="3:20" ht="15" x14ac:dyDescent="0.25">
      <c r="D42" s="8">
        <v>1060</v>
      </c>
      <c r="E42" s="8" t="s">
        <v>331</v>
      </c>
      <c r="F42" s="13">
        <v>69486.3</v>
      </c>
      <c r="G42" s="13">
        <v>0</v>
      </c>
      <c r="H42" s="13">
        <v>0</v>
      </c>
      <c r="I42" s="13">
        <v>0</v>
      </c>
      <c r="J42" s="13">
        <v>0</v>
      </c>
      <c r="K42" s="13">
        <v>0</v>
      </c>
      <c r="L42" s="13">
        <v>0</v>
      </c>
      <c r="M42" s="13">
        <v>0</v>
      </c>
      <c r="N42" s="13">
        <v>0</v>
      </c>
      <c r="O42" s="13">
        <v>0</v>
      </c>
      <c r="P42" s="13">
        <v>0</v>
      </c>
      <c r="Q42" s="13">
        <v>0</v>
      </c>
      <c r="R42" s="13">
        <v>0</v>
      </c>
      <c r="S42" s="95">
        <f t="shared" si="10"/>
        <v>69486.3</v>
      </c>
      <c r="T42" s="8">
        <v>39</v>
      </c>
    </row>
    <row r="43" spans="3:20"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95">
        <f t="shared" si="10"/>
        <v>0</v>
      </c>
      <c r="T43" s="8">
        <v>40</v>
      </c>
    </row>
    <row r="44" spans="3:2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95">
        <f t="shared" si="10"/>
        <v>0</v>
      </c>
      <c r="T44" s="8">
        <v>41</v>
      </c>
    </row>
    <row r="45" spans="3:20"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95">
        <f t="shared" si="10"/>
        <v>0</v>
      </c>
      <c r="T45" s="8">
        <v>42</v>
      </c>
    </row>
    <row r="46" spans="3:2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95">
        <f t="shared" si="10"/>
        <v>0</v>
      </c>
      <c r="T46" s="8">
        <v>43</v>
      </c>
    </row>
    <row r="47" spans="3:20" ht="15" x14ac:dyDescent="0.25">
      <c r="F47" s="13"/>
      <c r="G47" s="13"/>
      <c r="H47" s="13"/>
      <c r="I47" s="13"/>
      <c r="J47" s="13"/>
      <c r="K47" s="13"/>
      <c r="L47" s="13"/>
      <c r="M47" s="13"/>
      <c r="N47" s="13"/>
      <c r="O47" s="13"/>
      <c r="P47" s="13"/>
      <c r="Q47" s="13"/>
      <c r="R47" s="13"/>
      <c r="S47" s="95"/>
      <c r="T47" s="8">
        <v>44</v>
      </c>
    </row>
    <row r="48" spans="3:20" ht="15" x14ac:dyDescent="0.25">
      <c r="C48" s="85">
        <v>107</v>
      </c>
      <c r="D48" s="85"/>
      <c r="E48" s="85" t="s">
        <v>340</v>
      </c>
      <c r="F48" s="107">
        <f>F49+F50+F51+F52</f>
        <v>8311.4</v>
      </c>
      <c r="G48" s="107">
        <f t="shared" ref="G48:R48" si="11">G49+G50+G51+G52</f>
        <v>0</v>
      </c>
      <c r="H48" s="107">
        <f t="shared" si="11"/>
        <v>702</v>
      </c>
      <c r="I48" s="107">
        <f t="shared" si="11"/>
        <v>6</v>
      </c>
      <c r="J48" s="107">
        <f t="shared" si="11"/>
        <v>1200</v>
      </c>
      <c r="K48" s="107">
        <f t="shared" si="11"/>
        <v>5400</v>
      </c>
      <c r="L48" s="107">
        <f t="shared" si="11"/>
        <v>1503</v>
      </c>
      <c r="M48" s="107">
        <f t="shared" si="11"/>
        <v>34001</v>
      </c>
      <c r="N48" s="107">
        <f t="shared" si="11"/>
        <v>202</v>
      </c>
      <c r="O48" s="107">
        <f t="shared" si="11"/>
        <v>5002</v>
      </c>
      <c r="P48" s="107">
        <f t="shared" si="11"/>
        <v>452</v>
      </c>
      <c r="Q48" s="107">
        <f t="shared" si="11"/>
        <v>8200</v>
      </c>
      <c r="R48" s="107">
        <f t="shared" si="11"/>
        <v>366169.43</v>
      </c>
      <c r="S48" s="107">
        <f t="shared" ref="S48:S52" si="12">SUM(F48:R48)</f>
        <v>431148.83</v>
      </c>
      <c r="T48" s="8">
        <v>45</v>
      </c>
    </row>
    <row r="49" spans="3:20" ht="15" x14ac:dyDescent="0.25">
      <c r="D49" s="8">
        <v>1070</v>
      </c>
      <c r="E49" s="8" t="s">
        <v>336</v>
      </c>
      <c r="F49" s="13">
        <v>8311.4</v>
      </c>
      <c r="G49" s="13">
        <v>0</v>
      </c>
      <c r="H49" s="13">
        <v>702</v>
      </c>
      <c r="I49" s="13">
        <v>6</v>
      </c>
      <c r="J49" s="13">
        <v>1200</v>
      </c>
      <c r="K49" s="13">
        <v>5400</v>
      </c>
      <c r="L49" s="13">
        <v>1503</v>
      </c>
      <c r="M49" s="13">
        <v>34001</v>
      </c>
      <c r="N49" s="13">
        <v>202</v>
      </c>
      <c r="O49" s="13">
        <v>5002</v>
      </c>
      <c r="P49" s="13">
        <v>452</v>
      </c>
      <c r="Q49" s="13">
        <v>8000</v>
      </c>
      <c r="R49" s="13">
        <v>0</v>
      </c>
      <c r="S49" s="95">
        <f t="shared" si="12"/>
        <v>64779.4</v>
      </c>
      <c r="T49" s="8">
        <v>46</v>
      </c>
    </row>
    <row r="50" spans="3:20" ht="15" x14ac:dyDescent="0.25">
      <c r="D50" s="8">
        <v>1071</v>
      </c>
      <c r="E50" s="8" t="s">
        <v>337</v>
      </c>
      <c r="F50" s="13">
        <v>0</v>
      </c>
      <c r="G50" s="13">
        <v>0</v>
      </c>
      <c r="H50" s="13">
        <v>0</v>
      </c>
      <c r="I50" s="13">
        <v>0</v>
      </c>
      <c r="J50" s="13">
        <v>0</v>
      </c>
      <c r="K50" s="13">
        <v>0</v>
      </c>
      <c r="L50" s="13">
        <v>0</v>
      </c>
      <c r="M50" s="13">
        <v>0</v>
      </c>
      <c r="N50" s="13">
        <v>0</v>
      </c>
      <c r="O50" s="13">
        <v>0</v>
      </c>
      <c r="P50" s="13">
        <v>0</v>
      </c>
      <c r="Q50" s="13">
        <v>200</v>
      </c>
      <c r="R50" s="13">
        <v>366169.43</v>
      </c>
      <c r="S50" s="95">
        <f t="shared" si="12"/>
        <v>366369.43</v>
      </c>
      <c r="T50" s="8">
        <v>47</v>
      </c>
    </row>
    <row r="51" spans="3:2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95">
        <f t="shared" si="12"/>
        <v>0</v>
      </c>
      <c r="T51" s="8">
        <v>48</v>
      </c>
    </row>
    <row r="52" spans="3:2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95">
        <f t="shared" si="12"/>
        <v>0</v>
      </c>
      <c r="T52" s="8">
        <v>49</v>
      </c>
    </row>
    <row r="53" spans="3:20" ht="15" x14ac:dyDescent="0.25">
      <c r="F53" s="13"/>
      <c r="G53" s="13"/>
      <c r="H53" s="13"/>
      <c r="I53" s="13"/>
      <c r="J53" s="13"/>
      <c r="K53" s="13"/>
      <c r="L53" s="13"/>
      <c r="M53" s="13"/>
      <c r="N53" s="13"/>
      <c r="O53" s="13"/>
      <c r="P53" s="13"/>
      <c r="Q53" s="13"/>
      <c r="R53" s="13"/>
      <c r="S53" s="95"/>
      <c r="T53" s="8">
        <v>50</v>
      </c>
    </row>
    <row r="54" spans="3:20" ht="15" x14ac:dyDescent="0.25">
      <c r="C54" s="85">
        <v>108</v>
      </c>
      <c r="D54" s="85"/>
      <c r="E54" s="85" t="s">
        <v>242</v>
      </c>
      <c r="F54" s="107">
        <f>F55+F56+F57+F58+F59+F60</f>
        <v>7121934.3499999996</v>
      </c>
      <c r="G54" s="107">
        <f t="shared" ref="G54:R54" si="13">G55+G56+G57+G58+G59+G60</f>
        <v>0</v>
      </c>
      <c r="H54" s="107">
        <f t="shared" si="13"/>
        <v>274000</v>
      </c>
      <c r="I54" s="107">
        <f t="shared" si="13"/>
        <v>0</v>
      </c>
      <c r="J54" s="107">
        <f t="shared" si="13"/>
        <v>704318.55</v>
      </c>
      <c r="K54" s="107">
        <f t="shared" si="13"/>
        <v>26926350</v>
      </c>
      <c r="L54" s="107">
        <f t="shared" si="13"/>
        <v>166630</v>
      </c>
      <c r="M54" s="107">
        <f t="shared" si="13"/>
        <v>2200</v>
      </c>
      <c r="N54" s="107">
        <f t="shared" si="13"/>
        <v>0</v>
      </c>
      <c r="O54" s="107">
        <f t="shared" si="13"/>
        <v>12750</v>
      </c>
      <c r="P54" s="107">
        <f t="shared" si="13"/>
        <v>609300</v>
      </c>
      <c r="Q54" s="107">
        <f t="shared" si="13"/>
        <v>704010.05</v>
      </c>
      <c r="R54" s="107">
        <f t="shared" si="13"/>
        <v>640305.6</v>
      </c>
      <c r="S54" s="107">
        <f t="shared" ref="S54:S60" si="14">SUM(F54:R54)</f>
        <v>37161798.549999997</v>
      </c>
      <c r="T54" s="8">
        <v>51</v>
      </c>
    </row>
    <row r="55" spans="3:20" ht="15" x14ac:dyDescent="0.25">
      <c r="D55" s="8">
        <v>1080</v>
      </c>
      <c r="E55" s="8" t="s">
        <v>341</v>
      </c>
      <c r="F55" s="13">
        <v>777178</v>
      </c>
      <c r="G55" s="13">
        <v>0</v>
      </c>
      <c r="H55" s="13">
        <v>0</v>
      </c>
      <c r="I55" s="13">
        <v>0</v>
      </c>
      <c r="J55" s="13">
        <v>143240</v>
      </c>
      <c r="K55" s="13">
        <v>21626550</v>
      </c>
      <c r="L55" s="13">
        <v>166630</v>
      </c>
      <c r="M55" s="13">
        <v>0</v>
      </c>
      <c r="N55" s="13">
        <v>0</v>
      </c>
      <c r="O55" s="13">
        <v>10750</v>
      </c>
      <c r="P55" s="13">
        <v>0</v>
      </c>
      <c r="Q55" s="13">
        <v>704010.05</v>
      </c>
      <c r="R55" s="13">
        <v>52780</v>
      </c>
      <c r="S55" s="95">
        <f t="shared" si="14"/>
        <v>23481138.050000001</v>
      </c>
      <c r="T55" s="8">
        <v>52</v>
      </c>
    </row>
    <row r="56" spans="3:20" ht="15" x14ac:dyDescent="0.25">
      <c r="D56" s="8">
        <v>1084</v>
      </c>
      <c r="E56" s="8" t="s">
        <v>342</v>
      </c>
      <c r="F56" s="13">
        <v>6240444.3499999996</v>
      </c>
      <c r="G56" s="13">
        <v>0</v>
      </c>
      <c r="H56" s="13">
        <v>274000</v>
      </c>
      <c r="I56" s="13">
        <v>0</v>
      </c>
      <c r="J56" s="13">
        <v>561078.55000000005</v>
      </c>
      <c r="K56" s="13">
        <v>5299800</v>
      </c>
      <c r="L56" s="13">
        <v>0</v>
      </c>
      <c r="M56" s="13">
        <v>0</v>
      </c>
      <c r="N56" s="13">
        <v>0</v>
      </c>
      <c r="O56" s="13">
        <v>2000</v>
      </c>
      <c r="P56" s="13">
        <v>609300</v>
      </c>
      <c r="Q56" s="13">
        <v>0</v>
      </c>
      <c r="R56" s="13">
        <v>587525.6</v>
      </c>
      <c r="S56" s="95">
        <f t="shared" si="14"/>
        <v>13574148.499999998</v>
      </c>
      <c r="T56" s="8">
        <v>53</v>
      </c>
    </row>
    <row r="57" spans="3:2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95">
        <f t="shared" si="14"/>
        <v>0</v>
      </c>
      <c r="T57" s="8">
        <v>54</v>
      </c>
    </row>
    <row r="58" spans="3:20"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95">
        <f t="shared" si="14"/>
        <v>0</v>
      </c>
      <c r="T58" s="8">
        <v>55</v>
      </c>
    </row>
    <row r="59" spans="3:20" ht="15" x14ac:dyDescent="0.25">
      <c r="D59" s="8">
        <v>1088</v>
      </c>
      <c r="E59" s="8" t="s">
        <v>345</v>
      </c>
      <c r="F59" s="13">
        <v>0</v>
      </c>
      <c r="G59" s="13">
        <v>0</v>
      </c>
      <c r="H59" s="13">
        <v>0</v>
      </c>
      <c r="I59" s="13">
        <v>0</v>
      </c>
      <c r="J59" s="13">
        <v>0</v>
      </c>
      <c r="K59" s="13">
        <v>0</v>
      </c>
      <c r="L59" s="13">
        <v>0</v>
      </c>
      <c r="M59" s="13">
        <v>2200</v>
      </c>
      <c r="N59" s="13">
        <v>0</v>
      </c>
      <c r="O59" s="13">
        <v>0</v>
      </c>
      <c r="P59" s="13">
        <v>0</v>
      </c>
      <c r="Q59" s="13">
        <v>0</v>
      </c>
      <c r="R59" s="13">
        <v>0</v>
      </c>
      <c r="S59" s="95">
        <f t="shared" si="14"/>
        <v>2200</v>
      </c>
      <c r="T59" s="8">
        <v>56</v>
      </c>
    </row>
    <row r="60" spans="3:20" ht="15" x14ac:dyDescent="0.25">
      <c r="D60" s="8">
        <v>1089</v>
      </c>
      <c r="E60" s="8" t="s">
        <v>346</v>
      </c>
      <c r="F60" s="13">
        <v>104312</v>
      </c>
      <c r="G60" s="13">
        <v>0</v>
      </c>
      <c r="H60" s="13">
        <v>0</v>
      </c>
      <c r="I60" s="13">
        <v>0</v>
      </c>
      <c r="J60" s="13">
        <v>0</v>
      </c>
      <c r="K60" s="13">
        <v>0</v>
      </c>
      <c r="L60" s="13">
        <v>0</v>
      </c>
      <c r="M60" s="13">
        <v>0</v>
      </c>
      <c r="N60" s="13">
        <v>0</v>
      </c>
      <c r="O60" s="13">
        <v>0</v>
      </c>
      <c r="P60" s="13">
        <v>0</v>
      </c>
      <c r="Q60" s="13">
        <v>0</v>
      </c>
      <c r="R60" s="13">
        <v>0</v>
      </c>
      <c r="S60" s="95">
        <f t="shared" si="14"/>
        <v>104312</v>
      </c>
      <c r="T60" s="8">
        <v>57</v>
      </c>
    </row>
    <row r="61" spans="3:20" ht="15" x14ac:dyDescent="0.25">
      <c r="F61" s="13"/>
      <c r="G61" s="13"/>
      <c r="H61" s="13"/>
      <c r="I61" s="13"/>
      <c r="J61" s="13"/>
      <c r="K61" s="13"/>
      <c r="L61" s="13"/>
      <c r="M61" s="13"/>
      <c r="N61" s="13"/>
      <c r="O61" s="13"/>
      <c r="P61" s="13"/>
      <c r="Q61" s="13"/>
      <c r="R61" s="13"/>
      <c r="S61" s="95"/>
      <c r="T61" s="8">
        <v>58</v>
      </c>
    </row>
    <row r="62" spans="3:20" ht="15" x14ac:dyDescent="0.25">
      <c r="C62" s="85">
        <v>109</v>
      </c>
      <c r="D62" s="85"/>
      <c r="E62" s="85" t="s">
        <v>347</v>
      </c>
      <c r="F62" s="107">
        <f>F63+F64+F65+F66</f>
        <v>0</v>
      </c>
      <c r="G62" s="107">
        <f t="shared" ref="G62:R62" si="15">G63+G64+G65+G66</f>
        <v>0</v>
      </c>
      <c r="H62" s="107">
        <f t="shared" si="15"/>
        <v>0</v>
      </c>
      <c r="I62" s="107">
        <f t="shared" si="15"/>
        <v>0</v>
      </c>
      <c r="J62" s="107">
        <f t="shared" si="15"/>
        <v>0</v>
      </c>
      <c r="K62" s="107">
        <f t="shared" si="15"/>
        <v>0</v>
      </c>
      <c r="L62" s="107">
        <f t="shared" si="15"/>
        <v>55041.05</v>
      </c>
      <c r="M62" s="107">
        <f t="shared" si="15"/>
        <v>0</v>
      </c>
      <c r="N62" s="107">
        <f t="shared" si="15"/>
        <v>0</v>
      </c>
      <c r="O62" s="107">
        <f t="shared" si="15"/>
        <v>0</v>
      </c>
      <c r="P62" s="107">
        <f t="shared" si="15"/>
        <v>0</v>
      </c>
      <c r="Q62" s="107">
        <f t="shared" si="15"/>
        <v>0</v>
      </c>
      <c r="R62" s="107">
        <f t="shared" si="15"/>
        <v>0</v>
      </c>
      <c r="S62" s="107">
        <f t="shared" ref="S62:S66" si="16">SUM(F62:R62)</f>
        <v>55041.05</v>
      </c>
      <c r="T62" s="8">
        <v>59</v>
      </c>
    </row>
    <row r="63" spans="3:20" ht="15" x14ac:dyDescent="0.25">
      <c r="D63" s="8">
        <v>1090</v>
      </c>
      <c r="E63" s="8" t="s">
        <v>347</v>
      </c>
      <c r="F63" s="13">
        <v>0</v>
      </c>
      <c r="G63" s="13">
        <v>0</v>
      </c>
      <c r="H63" s="13">
        <v>0</v>
      </c>
      <c r="I63" s="13">
        <v>0</v>
      </c>
      <c r="J63" s="13">
        <v>0</v>
      </c>
      <c r="K63" s="13">
        <v>0</v>
      </c>
      <c r="L63" s="13">
        <v>55041.05</v>
      </c>
      <c r="M63" s="13">
        <v>0</v>
      </c>
      <c r="N63" s="13">
        <v>0</v>
      </c>
      <c r="O63" s="13">
        <v>0</v>
      </c>
      <c r="P63" s="13">
        <v>0</v>
      </c>
      <c r="Q63" s="13">
        <v>0</v>
      </c>
      <c r="R63" s="13">
        <v>0</v>
      </c>
      <c r="S63" s="95">
        <f t="shared" si="16"/>
        <v>55041.05</v>
      </c>
      <c r="T63" s="8">
        <v>60</v>
      </c>
    </row>
    <row r="64" spans="3:2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95">
        <f t="shared" si="16"/>
        <v>0</v>
      </c>
      <c r="T64" s="8">
        <v>61</v>
      </c>
    </row>
    <row r="65" spans="2:20"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95">
        <f t="shared" si="16"/>
        <v>0</v>
      </c>
      <c r="T65" s="8">
        <v>62</v>
      </c>
    </row>
    <row r="66" spans="2:20"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95">
        <f t="shared" si="16"/>
        <v>0</v>
      </c>
      <c r="T66" s="8">
        <v>63</v>
      </c>
    </row>
    <row r="67" spans="2:20" ht="15" x14ac:dyDescent="0.25">
      <c r="F67" s="13"/>
      <c r="G67" s="13"/>
      <c r="H67" s="13"/>
      <c r="I67" s="13"/>
      <c r="J67" s="13"/>
      <c r="K67" s="13"/>
      <c r="L67" s="13"/>
      <c r="M67" s="13"/>
      <c r="N67" s="13"/>
      <c r="O67" s="13"/>
      <c r="P67" s="13"/>
      <c r="Q67" s="13"/>
      <c r="R67" s="13"/>
      <c r="S67" s="95"/>
      <c r="T67" s="8">
        <v>64</v>
      </c>
    </row>
    <row r="68" spans="2:20" ht="15" x14ac:dyDescent="0.25">
      <c r="B68" s="118">
        <v>14</v>
      </c>
      <c r="C68" s="118"/>
      <c r="D68" s="118"/>
      <c r="E68" s="118" t="s">
        <v>243</v>
      </c>
      <c r="F68" s="119">
        <f>F69+F80+F86+F97+F108</f>
        <v>2171703</v>
      </c>
      <c r="G68" s="119">
        <f t="shared" ref="G68:R68" si="17">G69+G80+G86+G97+G108</f>
        <v>783557</v>
      </c>
      <c r="H68" s="119">
        <f t="shared" si="17"/>
        <v>621538.5</v>
      </c>
      <c r="I68" s="119">
        <f t="shared" si="17"/>
        <v>571769</v>
      </c>
      <c r="J68" s="119">
        <f t="shared" si="17"/>
        <v>1347014.5</v>
      </c>
      <c r="K68" s="119">
        <f t="shared" si="17"/>
        <v>2504057.0499999998</v>
      </c>
      <c r="L68" s="119">
        <f t="shared" si="17"/>
        <v>649570</v>
      </c>
      <c r="M68" s="119">
        <f t="shared" si="17"/>
        <v>1088618</v>
      </c>
      <c r="N68" s="119">
        <f t="shared" si="17"/>
        <v>18114</v>
      </c>
      <c r="O68" s="119">
        <f t="shared" si="17"/>
        <v>269710</v>
      </c>
      <c r="P68" s="119">
        <f t="shared" si="17"/>
        <v>1234384.1499999999</v>
      </c>
      <c r="Q68" s="119">
        <f t="shared" si="17"/>
        <v>997360.05</v>
      </c>
      <c r="R68" s="119">
        <f t="shared" si="17"/>
        <v>1424556</v>
      </c>
      <c r="S68" s="119">
        <f t="shared" ref="S68:S78" si="18">SUM(F68:R68)</f>
        <v>13681951.250000002</v>
      </c>
      <c r="T68" s="8">
        <v>65</v>
      </c>
    </row>
    <row r="69" spans="2:20" ht="15" x14ac:dyDescent="0.25">
      <c r="C69" s="85">
        <v>140</v>
      </c>
      <c r="D69" s="85"/>
      <c r="E69" s="85" t="s">
        <v>245</v>
      </c>
      <c r="F69" s="107">
        <f>F70+F71+F72+F73+F74+F75+F76+F77+F78</f>
        <v>2106903</v>
      </c>
      <c r="G69" s="107">
        <f t="shared" ref="G69:R69" si="19">G70+G71+G72+G73+G74+G75+G76+G77+G78</f>
        <v>783555</v>
      </c>
      <c r="H69" s="107">
        <f t="shared" si="19"/>
        <v>621538.5</v>
      </c>
      <c r="I69" s="107">
        <f t="shared" si="19"/>
        <v>571769</v>
      </c>
      <c r="J69" s="107">
        <f t="shared" si="19"/>
        <v>1347014.5</v>
      </c>
      <c r="K69" s="107">
        <f t="shared" si="19"/>
        <v>2444054.0499999998</v>
      </c>
      <c r="L69" s="107">
        <f t="shared" si="19"/>
        <v>649570</v>
      </c>
      <c r="M69" s="107">
        <f t="shared" si="19"/>
        <v>1088618</v>
      </c>
      <c r="N69" s="107">
        <f t="shared" si="19"/>
        <v>18114</v>
      </c>
      <c r="O69" s="107">
        <f t="shared" si="19"/>
        <v>269710</v>
      </c>
      <c r="P69" s="107">
        <f t="shared" si="19"/>
        <v>1234384.1499999999</v>
      </c>
      <c r="Q69" s="107">
        <f t="shared" si="19"/>
        <v>997360.05</v>
      </c>
      <c r="R69" s="107">
        <f t="shared" si="19"/>
        <v>1424556</v>
      </c>
      <c r="S69" s="107">
        <f t="shared" si="18"/>
        <v>13557146.250000002</v>
      </c>
      <c r="T69" s="8">
        <v>66</v>
      </c>
    </row>
    <row r="70" spans="2:20" ht="15" x14ac:dyDescent="0.25">
      <c r="D70" s="8">
        <v>1400</v>
      </c>
      <c r="E70" s="8" t="s">
        <v>351</v>
      </c>
      <c r="F70" s="13">
        <v>637850</v>
      </c>
      <c r="G70" s="13">
        <v>230701</v>
      </c>
      <c r="H70" s="13">
        <v>0</v>
      </c>
      <c r="I70" s="13">
        <v>260230</v>
      </c>
      <c r="J70" s="13">
        <v>250180</v>
      </c>
      <c r="K70" s="13">
        <v>764001</v>
      </c>
      <c r="L70" s="13">
        <v>201230</v>
      </c>
      <c r="M70" s="13">
        <v>0</v>
      </c>
      <c r="N70" s="13">
        <v>0</v>
      </c>
      <c r="O70" s="13">
        <v>0</v>
      </c>
      <c r="P70" s="13">
        <v>476564.55</v>
      </c>
      <c r="Q70" s="13">
        <v>278148.05</v>
      </c>
      <c r="R70" s="13">
        <v>25000</v>
      </c>
      <c r="S70" s="95">
        <f t="shared" si="18"/>
        <v>3123904.5999999996</v>
      </c>
      <c r="T70" s="8">
        <v>67</v>
      </c>
    </row>
    <row r="71" spans="2:20" ht="15" x14ac:dyDescent="0.25">
      <c r="D71" s="8">
        <v>1401</v>
      </c>
      <c r="E71" s="8" t="s">
        <v>352</v>
      </c>
      <c r="F71" s="13">
        <v>19400</v>
      </c>
      <c r="G71" s="13">
        <v>14000</v>
      </c>
      <c r="H71" s="13">
        <v>49586.5</v>
      </c>
      <c r="I71" s="13">
        <v>0</v>
      </c>
      <c r="J71" s="13">
        <v>72000</v>
      </c>
      <c r="K71" s="13">
        <v>1</v>
      </c>
      <c r="L71" s="13">
        <v>0</v>
      </c>
      <c r="M71" s="13">
        <v>0</v>
      </c>
      <c r="N71" s="13">
        <v>0</v>
      </c>
      <c r="O71" s="13">
        <v>0</v>
      </c>
      <c r="P71" s="13">
        <v>85903.2</v>
      </c>
      <c r="Q71" s="13">
        <v>0</v>
      </c>
      <c r="R71" s="13">
        <v>38360</v>
      </c>
      <c r="S71" s="95">
        <f t="shared" si="18"/>
        <v>279250.7</v>
      </c>
      <c r="T71" s="8">
        <v>68</v>
      </c>
    </row>
    <row r="72" spans="2:20" ht="15" x14ac:dyDescent="0.25">
      <c r="D72" s="8">
        <v>1402</v>
      </c>
      <c r="E72" s="8" t="s">
        <v>353</v>
      </c>
      <c r="F72" s="13">
        <v>85000</v>
      </c>
      <c r="G72" s="13">
        <v>0</v>
      </c>
      <c r="H72" s="13">
        <v>1</v>
      </c>
      <c r="I72" s="13">
        <v>0</v>
      </c>
      <c r="J72" s="13">
        <v>0</v>
      </c>
      <c r="K72" s="13">
        <v>0</v>
      </c>
      <c r="L72" s="13">
        <v>0</v>
      </c>
      <c r="M72" s="13">
        <v>0</v>
      </c>
      <c r="N72" s="13">
        <v>1</v>
      </c>
      <c r="O72" s="13">
        <v>0</v>
      </c>
      <c r="P72" s="13">
        <v>0</v>
      </c>
      <c r="Q72" s="13">
        <v>0</v>
      </c>
      <c r="R72" s="13">
        <v>0</v>
      </c>
      <c r="S72" s="95">
        <f t="shared" si="18"/>
        <v>85002</v>
      </c>
      <c r="T72" s="8">
        <v>69</v>
      </c>
    </row>
    <row r="73" spans="2:20" ht="15" x14ac:dyDescent="0.25">
      <c r="D73" s="8">
        <v>1403</v>
      </c>
      <c r="E73" s="8" t="s">
        <v>354</v>
      </c>
      <c r="F73" s="13">
        <v>0</v>
      </c>
      <c r="G73" s="13">
        <v>0</v>
      </c>
      <c r="H73" s="13">
        <v>0</v>
      </c>
      <c r="I73" s="13">
        <v>0</v>
      </c>
      <c r="J73" s="13">
        <v>34304.5</v>
      </c>
      <c r="K73" s="13">
        <v>0</v>
      </c>
      <c r="L73" s="13">
        <v>0</v>
      </c>
      <c r="M73" s="13">
        <v>0</v>
      </c>
      <c r="N73" s="13">
        <v>0</v>
      </c>
      <c r="O73" s="13">
        <v>0</v>
      </c>
      <c r="P73" s="13">
        <v>0</v>
      </c>
      <c r="Q73" s="13">
        <v>0</v>
      </c>
      <c r="R73" s="13">
        <v>0</v>
      </c>
      <c r="S73" s="95">
        <f t="shared" si="18"/>
        <v>34304.5</v>
      </c>
      <c r="T73" s="8">
        <v>70</v>
      </c>
    </row>
    <row r="74" spans="2:20" ht="15" x14ac:dyDescent="0.25">
      <c r="D74" s="8">
        <v>1404</v>
      </c>
      <c r="E74" s="8" t="s">
        <v>355</v>
      </c>
      <c r="F74" s="13">
        <v>436700</v>
      </c>
      <c r="G74" s="13">
        <v>251064</v>
      </c>
      <c r="H74" s="13">
        <v>1</v>
      </c>
      <c r="I74" s="13">
        <v>2</v>
      </c>
      <c r="J74" s="13">
        <v>103860</v>
      </c>
      <c r="K74" s="13">
        <v>407872.05</v>
      </c>
      <c r="L74" s="13">
        <v>211600</v>
      </c>
      <c r="M74" s="13">
        <v>0</v>
      </c>
      <c r="N74" s="13">
        <v>2</v>
      </c>
      <c r="O74" s="13">
        <v>0</v>
      </c>
      <c r="P74" s="13">
        <v>144549.4</v>
      </c>
      <c r="Q74" s="13">
        <v>0</v>
      </c>
      <c r="R74" s="13">
        <v>1361195</v>
      </c>
      <c r="S74" s="95">
        <f t="shared" si="18"/>
        <v>2916845.45</v>
      </c>
      <c r="T74" s="8">
        <v>71</v>
      </c>
    </row>
    <row r="75" spans="2:20" ht="15" x14ac:dyDescent="0.25">
      <c r="D75" s="8">
        <v>1405</v>
      </c>
      <c r="E75" s="8" t="s">
        <v>356</v>
      </c>
      <c r="F75" s="13">
        <v>888953</v>
      </c>
      <c r="G75" s="13">
        <v>287790</v>
      </c>
      <c r="H75" s="13">
        <v>570450</v>
      </c>
      <c r="I75" s="13">
        <v>311535</v>
      </c>
      <c r="J75" s="13">
        <v>886670</v>
      </c>
      <c r="K75" s="13">
        <v>1272180</v>
      </c>
      <c r="L75" s="13">
        <v>236740</v>
      </c>
      <c r="M75" s="13">
        <v>1088618</v>
      </c>
      <c r="N75" s="13">
        <v>18110</v>
      </c>
      <c r="O75" s="13">
        <v>269710</v>
      </c>
      <c r="P75" s="13">
        <v>526866</v>
      </c>
      <c r="Q75" s="13">
        <v>675522</v>
      </c>
      <c r="R75" s="13">
        <v>0</v>
      </c>
      <c r="S75" s="95">
        <f t="shared" si="18"/>
        <v>7033144</v>
      </c>
      <c r="T75" s="8">
        <v>72</v>
      </c>
    </row>
    <row r="76" spans="2:20" ht="15" x14ac:dyDescent="0.25">
      <c r="D76" s="8">
        <v>1406</v>
      </c>
      <c r="E76" s="8" t="s">
        <v>357</v>
      </c>
      <c r="F76" s="13">
        <v>39000</v>
      </c>
      <c r="G76" s="13">
        <v>0</v>
      </c>
      <c r="H76" s="13">
        <v>1500</v>
      </c>
      <c r="I76" s="13">
        <v>2</v>
      </c>
      <c r="J76" s="13">
        <v>0</v>
      </c>
      <c r="K76" s="13">
        <v>0</v>
      </c>
      <c r="L76" s="13">
        <v>0</v>
      </c>
      <c r="M76" s="13">
        <v>0</v>
      </c>
      <c r="N76" s="13">
        <v>1</v>
      </c>
      <c r="O76" s="13">
        <v>0</v>
      </c>
      <c r="P76" s="13">
        <v>501</v>
      </c>
      <c r="Q76" s="13">
        <v>0</v>
      </c>
      <c r="R76" s="13">
        <v>1</v>
      </c>
      <c r="S76" s="95">
        <f t="shared" si="18"/>
        <v>41005</v>
      </c>
      <c r="T76" s="8">
        <v>73</v>
      </c>
    </row>
    <row r="77" spans="2:20" ht="15" x14ac:dyDescent="0.25">
      <c r="D77" s="8">
        <v>1407</v>
      </c>
      <c r="E77" s="8" t="s">
        <v>358</v>
      </c>
      <c r="F77" s="13">
        <v>0</v>
      </c>
      <c r="G77" s="13">
        <v>0</v>
      </c>
      <c r="H77" s="13">
        <v>0</v>
      </c>
      <c r="I77" s="13">
        <v>0</v>
      </c>
      <c r="J77" s="13">
        <v>0</v>
      </c>
      <c r="K77" s="13">
        <v>0</v>
      </c>
      <c r="L77" s="13">
        <v>0</v>
      </c>
      <c r="M77" s="13">
        <v>0</v>
      </c>
      <c r="N77" s="13">
        <v>0</v>
      </c>
      <c r="O77" s="13">
        <v>0</v>
      </c>
      <c r="P77" s="13">
        <v>0</v>
      </c>
      <c r="Q77" s="13">
        <v>43690</v>
      </c>
      <c r="R77" s="13">
        <v>0</v>
      </c>
      <c r="S77" s="95">
        <f t="shared" si="18"/>
        <v>43690</v>
      </c>
      <c r="T77" s="8">
        <v>74</v>
      </c>
    </row>
    <row r="78" spans="2:20"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95">
        <f t="shared" si="18"/>
        <v>0</v>
      </c>
      <c r="T78" s="8">
        <v>75</v>
      </c>
    </row>
    <row r="79" spans="2:20" ht="15" x14ac:dyDescent="0.25">
      <c r="F79" s="13"/>
      <c r="G79" s="13"/>
      <c r="H79" s="13"/>
      <c r="I79" s="13"/>
      <c r="J79" s="13"/>
      <c r="K79" s="13"/>
      <c r="L79" s="13"/>
      <c r="M79" s="13"/>
      <c r="N79" s="13"/>
      <c r="O79" s="13"/>
      <c r="P79" s="13"/>
      <c r="Q79" s="13"/>
      <c r="R79" s="13"/>
      <c r="S79" s="95"/>
      <c r="T79" s="8">
        <v>76</v>
      </c>
    </row>
    <row r="80" spans="2:20" ht="15" x14ac:dyDescent="0.25">
      <c r="C80" s="85">
        <v>142</v>
      </c>
      <c r="D80" s="85"/>
      <c r="E80" s="85" t="s">
        <v>571</v>
      </c>
      <c r="F80" s="107">
        <f t="shared" ref="F80:O80" si="20">F81+F82+F83+F84</f>
        <v>0</v>
      </c>
      <c r="G80" s="107">
        <f t="shared" si="20"/>
        <v>0</v>
      </c>
      <c r="H80" s="107">
        <f t="shared" si="20"/>
        <v>0</v>
      </c>
      <c r="I80" s="107">
        <f t="shared" si="20"/>
        <v>0</v>
      </c>
      <c r="J80" s="107">
        <f t="shared" si="20"/>
        <v>0</v>
      </c>
      <c r="K80" s="107">
        <f t="shared" si="20"/>
        <v>0</v>
      </c>
      <c r="L80" s="107">
        <f t="shared" si="20"/>
        <v>0</v>
      </c>
      <c r="M80" s="107">
        <f t="shared" si="20"/>
        <v>0</v>
      </c>
      <c r="N80" s="107">
        <f t="shared" si="20"/>
        <v>0</v>
      </c>
      <c r="O80" s="107">
        <f t="shared" si="20"/>
        <v>0</v>
      </c>
      <c r="P80" s="107">
        <f>P81+P82+P83+P84</f>
        <v>0</v>
      </c>
      <c r="Q80" s="107">
        <f t="shared" ref="Q80:R80" si="21">Q81+Q82+Q83+Q84</f>
        <v>0</v>
      </c>
      <c r="R80" s="107">
        <f t="shared" si="21"/>
        <v>0</v>
      </c>
      <c r="S80" s="107">
        <f t="shared" ref="S80:S84" si="22">SUM(F80:R80)</f>
        <v>0</v>
      </c>
      <c r="T80" s="8">
        <v>77</v>
      </c>
    </row>
    <row r="81" spans="3:20" ht="15" x14ac:dyDescent="0.25">
      <c r="D81" s="17">
        <v>1420</v>
      </c>
      <c r="E81" s="17" t="s">
        <v>360</v>
      </c>
      <c r="F81" s="13">
        <v>0</v>
      </c>
      <c r="G81" s="13">
        <v>0</v>
      </c>
      <c r="H81" s="13">
        <v>0</v>
      </c>
      <c r="I81" s="13">
        <v>0</v>
      </c>
      <c r="J81" s="13">
        <v>0</v>
      </c>
      <c r="K81" s="13">
        <v>0</v>
      </c>
      <c r="L81" s="13">
        <v>0</v>
      </c>
      <c r="M81" s="13">
        <v>0</v>
      </c>
      <c r="N81" s="13">
        <v>0</v>
      </c>
      <c r="O81" s="13">
        <v>0</v>
      </c>
      <c r="P81" s="13">
        <v>0</v>
      </c>
      <c r="Q81" s="13">
        <v>0</v>
      </c>
      <c r="R81" s="13">
        <v>0</v>
      </c>
      <c r="S81" s="95">
        <f t="shared" si="22"/>
        <v>0</v>
      </c>
      <c r="T81" s="8">
        <v>78</v>
      </c>
    </row>
    <row r="82" spans="3:2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95">
        <f t="shared" si="22"/>
        <v>0</v>
      </c>
      <c r="T82" s="8">
        <v>79</v>
      </c>
    </row>
    <row r="83" spans="3:20" ht="15" x14ac:dyDescent="0.25">
      <c r="D83" s="17">
        <v>1427</v>
      </c>
      <c r="E83" s="17" t="s">
        <v>570</v>
      </c>
      <c r="F83" s="13">
        <v>0</v>
      </c>
      <c r="G83" s="13">
        <v>0</v>
      </c>
      <c r="H83" s="13">
        <v>0</v>
      </c>
      <c r="I83" s="13">
        <v>0</v>
      </c>
      <c r="J83" s="13">
        <v>0</v>
      </c>
      <c r="K83" s="13">
        <v>0</v>
      </c>
      <c r="L83" s="13">
        <v>0</v>
      </c>
      <c r="M83" s="13">
        <v>0</v>
      </c>
      <c r="N83" s="13">
        <v>0</v>
      </c>
      <c r="O83" s="13">
        <v>0</v>
      </c>
      <c r="P83" s="13">
        <v>0</v>
      </c>
      <c r="Q83" s="13">
        <v>0</v>
      </c>
      <c r="R83" s="13">
        <v>0</v>
      </c>
      <c r="S83" s="95">
        <f t="shared" si="22"/>
        <v>0</v>
      </c>
      <c r="T83" s="8">
        <v>80</v>
      </c>
    </row>
    <row r="84" spans="3:20" ht="15" x14ac:dyDescent="0.25">
      <c r="D84" s="17">
        <v>1429</v>
      </c>
      <c r="E84" s="17" t="s">
        <v>459</v>
      </c>
      <c r="F84" s="13">
        <v>0</v>
      </c>
      <c r="G84" s="13">
        <v>0</v>
      </c>
      <c r="H84" s="13">
        <v>0</v>
      </c>
      <c r="I84" s="18">
        <v>0</v>
      </c>
      <c r="J84" s="13">
        <v>0</v>
      </c>
      <c r="K84" s="13">
        <v>0</v>
      </c>
      <c r="L84" s="13">
        <v>0</v>
      </c>
      <c r="M84" s="13">
        <v>0</v>
      </c>
      <c r="N84" s="13">
        <v>0</v>
      </c>
      <c r="O84" s="13">
        <v>0</v>
      </c>
      <c r="P84" s="13">
        <v>0</v>
      </c>
      <c r="Q84" s="13">
        <v>0</v>
      </c>
      <c r="R84" s="13">
        <v>0</v>
      </c>
      <c r="S84" s="95">
        <f t="shared" si="22"/>
        <v>0</v>
      </c>
      <c r="T84" s="8">
        <v>81</v>
      </c>
    </row>
    <row r="85" spans="3:20" ht="15" x14ac:dyDescent="0.25">
      <c r="F85" s="13"/>
      <c r="G85" s="13"/>
      <c r="H85" s="13"/>
      <c r="I85" s="13"/>
      <c r="J85" s="13"/>
      <c r="K85" s="13"/>
      <c r="L85" s="13"/>
      <c r="M85" s="13"/>
      <c r="N85" s="13"/>
      <c r="O85" s="13"/>
      <c r="P85" s="13"/>
      <c r="Q85" s="13"/>
      <c r="R85" s="13"/>
      <c r="S85" s="95"/>
      <c r="T85" s="8">
        <v>82</v>
      </c>
    </row>
    <row r="86" spans="3:20" ht="15" x14ac:dyDescent="0.25">
      <c r="C86" s="85">
        <v>144</v>
      </c>
      <c r="D86" s="85"/>
      <c r="E86" s="85" t="s">
        <v>246</v>
      </c>
      <c r="F86" s="107">
        <f>F87+F88+F89+F90+F91+F92+F93+F94+F95</f>
        <v>64800</v>
      </c>
      <c r="G86" s="107">
        <f t="shared" ref="G86:R86" si="23">G87+G88+G89+G90+G91+G92+G93+G94+G95</f>
        <v>0</v>
      </c>
      <c r="H86" s="107">
        <f t="shared" si="23"/>
        <v>0</v>
      </c>
      <c r="I86" s="107">
        <f t="shared" si="23"/>
        <v>0</v>
      </c>
      <c r="J86" s="107">
        <f t="shared" si="23"/>
        <v>0</v>
      </c>
      <c r="K86" s="107">
        <f t="shared" si="23"/>
        <v>0</v>
      </c>
      <c r="L86" s="107">
        <f t="shared" si="23"/>
        <v>0</v>
      </c>
      <c r="M86" s="107">
        <f t="shared" si="23"/>
        <v>0</v>
      </c>
      <c r="N86" s="107">
        <f t="shared" si="23"/>
        <v>0</v>
      </c>
      <c r="O86" s="107">
        <f t="shared" si="23"/>
        <v>0</v>
      </c>
      <c r="P86" s="107">
        <f t="shared" si="23"/>
        <v>0</v>
      </c>
      <c r="Q86" s="107">
        <f t="shared" si="23"/>
        <v>0</v>
      </c>
      <c r="R86" s="107">
        <f t="shared" si="23"/>
        <v>0</v>
      </c>
      <c r="S86" s="107">
        <f t="shared" ref="S86:S95" si="24">SUM(F86:R86)</f>
        <v>64800</v>
      </c>
      <c r="T86" s="8">
        <v>83</v>
      </c>
    </row>
    <row r="87" spans="3:2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95">
        <f t="shared" si="24"/>
        <v>0</v>
      </c>
      <c r="T87" s="8">
        <v>84</v>
      </c>
    </row>
    <row r="88" spans="3:2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95">
        <f t="shared" si="24"/>
        <v>0</v>
      </c>
      <c r="T88" s="8">
        <v>85</v>
      </c>
    </row>
    <row r="89" spans="3:20" ht="15" x14ac:dyDescent="0.25">
      <c r="D89" s="8">
        <v>1442</v>
      </c>
      <c r="E89" s="8" t="s">
        <v>363</v>
      </c>
      <c r="F89" s="13">
        <v>22800</v>
      </c>
      <c r="G89" s="13">
        <v>0</v>
      </c>
      <c r="H89" s="13">
        <v>0</v>
      </c>
      <c r="I89" s="13">
        <v>0</v>
      </c>
      <c r="J89" s="13">
        <v>0</v>
      </c>
      <c r="K89" s="13">
        <v>0</v>
      </c>
      <c r="L89" s="13">
        <v>0</v>
      </c>
      <c r="M89" s="13">
        <v>0</v>
      </c>
      <c r="N89" s="13">
        <v>0</v>
      </c>
      <c r="O89" s="13">
        <v>0</v>
      </c>
      <c r="P89" s="13">
        <v>0</v>
      </c>
      <c r="Q89" s="13">
        <v>0</v>
      </c>
      <c r="R89" s="13">
        <v>0</v>
      </c>
      <c r="S89" s="95">
        <f t="shared" si="24"/>
        <v>22800</v>
      </c>
      <c r="T89" s="8">
        <v>86</v>
      </c>
    </row>
    <row r="90" spans="3:2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95">
        <f t="shared" si="24"/>
        <v>0</v>
      </c>
      <c r="T90" s="8">
        <v>87</v>
      </c>
    </row>
    <row r="91" spans="3:2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95">
        <f t="shared" si="24"/>
        <v>0</v>
      </c>
      <c r="T91" s="8">
        <v>88</v>
      </c>
    </row>
    <row r="92" spans="3:20"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95">
        <f t="shared" si="24"/>
        <v>0</v>
      </c>
      <c r="T92" s="8">
        <v>89</v>
      </c>
    </row>
    <row r="93" spans="3:20" ht="15" x14ac:dyDescent="0.25">
      <c r="D93" s="8">
        <v>1446</v>
      </c>
      <c r="E93" s="8" t="s">
        <v>368</v>
      </c>
      <c r="F93" s="13">
        <v>42000</v>
      </c>
      <c r="G93" s="13">
        <v>0</v>
      </c>
      <c r="H93" s="13">
        <v>0</v>
      </c>
      <c r="I93" s="13">
        <v>0</v>
      </c>
      <c r="J93" s="13">
        <v>0</v>
      </c>
      <c r="K93" s="13">
        <v>0</v>
      </c>
      <c r="L93" s="13">
        <v>0</v>
      </c>
      <c r="M93" s="13">
        <v>0</v>
      </c>
      <c r="N93" s="13">
        <v>0</v>
      </c>
      <c r="O93" s="13">
        <v>0</v>
      </c>
      <c r="P93" s="13">
        <v>0</v>
      </c>
      <c r="Q93" s="13">
        <v>0</v>
      </c>
      <c r="R93" s="13">
        <v>0</v>
      </c>
      <c r="S93" s="95">
        <f t="shared" si="24"/>
        <v>42000</v>
      </c>
      <c r="T93" s="8">
        <v>90</v>
      </c>
    </row>
    <row r="94" spans="3:2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95">
        <f t="shared" si="24"/>
        <v>0</v>
      </c>
      <c r="T94" s="8">
        <v>91</v>
      </c>
    </row>
    <row r="95" spans="3:2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95">
        <f t="shared" si="24"/>
        <v>0</v>
      </c>
      <c r="T95" s="8">
        <v>92</v>
      </c>
    </row>
    <row r="96" spans="3:20" ht="15" x14ac:dyDescent="0.25">
      <c r="F96" s="13"/>
      <c r="G96" s="13"/>
      <c r="H96" s="13"/>
      <c r="I96" s="13"/>
      <c r="J96" s="13"/>
      <c r="K96" s="13"/>
      <c r="L96" s="13"/>
      <c r="M96" s="13"/>
      <c r="N96" s="13"/>
      <c r="O96" s="13"/>
      <c r="P96" s="13"/>
      <c r="Q96" s="13"/>
      <c r="R96" s="13"/>
      <c r="S96" s="95"/>
      <c r="T96" s="8">
        <v>93</v>
      </c>
    </row>
    <row r="97" spans="3:20" ht="15" x14ac:dyDescent="0.25">
      <c r="C97" s="85">
        <v>145</v>
      </c>
      <c r="D97" s="85"/>
      <c r="E97" s="85" t="s">
        <v>373</v>
      </c>
      <c r="F97" s="107">
        <f>F98+F99+F100+F101+F102+F103+F104+F105+F106</f>
        <v>0</v>
      </c>
      <c r="G97" s="107">
        <f t="shared" ref="G97:R97" si="25">G98+G99+G100+G101+G102+G103+G104+G105+G106</f>
        <v>2</v>
      </c>
      <c r="H97" s="107">
        <f t="shared" si="25"/>
        <v>0</v>
      </c>
      <c r="I97" s="107">
        <f t="shared" si="25"/>
        <v>0</v>
      </c>
      <c r="J97" s="107">
        <f t="shared" si="25"/>
        <v>0</v>
      </c>
      <c r="K97" s="107">
        <f t="shared" si="25"/>
        <v>60003</v>
      </c>
      <c r="L97" s="107">
        <f t="shared" si="25"/>
        <v>0</v>
      </c>
      <c r="M97" s="107">
        <f t="shared" si="25"/>
        <v>0</v>
      </c>
      <c r="N97" s="107">
        <f t="shared" si="25"/>
        <v>0</v>
      </c>
      <c r="O97" s="107">
        <f t="shared" si="25"/>
        <v>0</v>
      </c>
      <c r="P97" s="107">
        <f t="shared" si="25"/>
        <v>0</v>
      </c>
      <c r="Q97" s="107">
        <f t="shared" si="25"/>
        <v>0</v>
      </c>
      <c r="R97" s="107">
        <f t="shared" si="25"/>
        <v>0</v>
      </c>
      <c r="S97" s="107">
        <f t="shared" ref="S97:S106" si="26">SUM(F97:R97)</f>
        <v>60005</v>
      </c>
      <c r="T97" s="8">
        <v>94</v>
      </c>
    </row>
    <row r="98" spans="3:2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95">
        <f t="shared" si="26"/>
        <v>0</v>
      </c>
      <c r="T98" s="8">
        <v>95</v>
      </c>
    </row>
    <row r="99" spans="3:2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95">
        <f t="shared" si="26"/>
        <v>0</v>
      </c>
      <c r="T99" s="8">
        <v>96</v>
      </c>
    </row>
    <row r="100" spans="3:20"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95">
        <f t="shared" si="26"/>
        <v>0</v>
      </c>
      <c r="T100" s="8">
        <v>97</v>
      </c>
    </row>
    <row r="101" spans="3:2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95">
        <f t="shared" si="26"/>
        <v>0</v>
      </c>
      <c r="T101" s="8">
        <v>98</v>
      </c>
    </row>
    <row r="102" spans="3:20" ht="15" x14ac:dyDescent="0.25">
      <c r="D102" s="8">
        <v>1454</v>
      </c>
      <c r="E102" s="8" t="s">
        <v>376</v>
      </c>
      <c r="F102" s="13">
        <v>0</v>
      </c>
      <c r="G102" s="13">
        <v>2</v>
      </c>
      <c r="H102" s="13">
        <v>0</v>
      </c>
      <c r="I102" s="13">
        <v>0</v>
      </c>
      <c r="J102" s="13">
        <v>0</v>
      </c>
      <c r="K102" s="13">
        <v>0</v>
      </c>
      <c r="L102" s="13">
        <v>0</v>
      </c>
      <c r="M102" s="13">
        <v>0</v>
      </c>
      <c r="N102" s="13">
        <v>0</v>
      </c>
      <c r="O102" s="13">
        <v>0</v>
      </c>
      <c r="P102" s="13">
        <v>0</v>
      </c>
      <c r="Q102" s="13">
        <v>0</v>
      </c>
      <c r="R102" s="13">
        <v>0</v>
      </c>
      <c r="S102" s="95">
        <f t="shared" si="26"/>
        <v>2</v>
      </c>
      <c r="T102" s="8">
        <v>99</v>
      </c>
    </row>
    <row r="103" spans="3:20" ht="15" x14ac:dyDescent="0.25">
      <c r="D103" s="8">
        <v>1455</v>
      </c>
      <c r="E103" s="8" t="s">
        <v>377</v>
      </c>
      <c r="F103" s="13">
        <v>0</v>
      </c>
      <c r="G103" s="13">
        <v>0</v>
      </c>
      <c r="H103" s="13">
        <v>0</v>
      </c>
      <c r="I103" s="13">
        <v>0</v>
      </c>
      <c r="J103" s="13">
        <v>0</v>
      </c>
      <c r="K103" s="13">
        <v>60003</v>
      </c>
      <c r="L103" s="13">
        <v>0</v>
      </c>
      <c r="M103" s="13">
        <v>0</v>
      </c>
      <c r="N103" s="13">
        <v>0</v>
      </c>
      <c r="O103" s="13">
        <v>0</v>
      </c>
      <c r="P103" s="13">
        <v>0</v>
      </c>
      <c r="Q103" s="13">
        <v>0</v>
      </c>
      <c r="R103" s="13">
        <v>0</v>
      </c>
      <c r="S103" s="95">
        <f t="shared" si="26"/>
        <v>60003</v>
      </c>
      <c r="T103" s="8">
        <v>100</v>
      </c>
    </row>
    <row r="104" spans="3:2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95">
        <f t="shared" si="26"/>
        <v>0</v>
      </c>
      <c r="T104" s="8">
        <v>101</v>
      </c>
    </row>
    <row r="105" spans="3:2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95">
        <f t="shared" si="26"/>
        <v>0</v>
      </c>
      <c r="T105" s="8">
        <v>102</v>
      </c>
    </row>
    <row r="106" spans="3:2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95">
        <f t="shared" si="26"/>
        <v>0</v>
      </c>
      <c r="T106" s="8">
        <v>103</v>
      </c>
    </row>
    <row r="107" spans="3:20" ht="15" x14ac:dyDescent="0.25">
      <c r="F107" s="13"/>
      <c r="G107" s="13"/>
      <c r="H107" s="13"/>
      <c r="I107" s="13"/>
      <c r="J107" s="13"/>
      <c r="K107" s="13"/>
      <c r="L107" s="13"/>
      <c r="M107" s="13"/>
      <c r="N107" s="13"/>
      <c r="O107" s="13"/>
      <c r="P107" s="13"/>
      <c r="Q107" s="13"/>
      <c r="R107" s="13"/>
      <c r="S107" s="95"/>
      <c r="T107" s="8">
        <v>104</v>
      </c>
    </row>
    <row r="108" spans="3:20" ht="15" x14ac:dyDescent="0.25">
      <c r="C108" s="85">
        <v>146</v>
      </c>
      <c r="D108" s="85"/>
      <c r="E108" s="85" t="s">
        <v>391</v>
      </c>
      <c r="F108" s="107">
        <f>F109+F110+F111+F112+F113+F114+F115+F116+F117+F118</f>
        <v>0</v>
      </c>
      <c r="G108" s="107">
        <f t="shared" ref="G108:R108" si="27">G109+G110+G111+G112+G113+G114+G115+G116+G117+G118</f>
        <v>0</v>
      </c>
      <c r="H108" s="107">
        <f t="shared" si="27"/>
        <v>0</v>
      </c>
      <c r="I108" s="107">
        <f t="shared" si="27"/>
        <v>0</v>
      </c>
      <c r="J108" s="107">
        <f t="shared" si="27"/>
        <v>0</v>
      </c>
      <c r="K108" s="107">
        <f t="shared" si="27"/>
        <v>0</v>
      </c>
      <c r="L108" s="107">
        <f t="shared" si="27"/>
        <v>0</v>
      </c>
      <c r="M108" s="107">
        <f t="shared" si="27"/>
        <v>0</v>
      </c>
      <c r="N108" s="107">
        <f t="shared" si="27"/>
        <v>0</v>
      </c>
      <c r="O108" s="107">
        <f t="shared" si="27"/>
        <v>0</v>
      </c>
      <c r="P108" s="107">
        <f t="shared" si="27"/>
        <v>0</v>
      </c>
      <c r="Q108" s="107">
        <f t="shared" si="27"/>
        <v>0</v>
      </c>
      <c r="R108" s="107">
        <f t="shared" si="27"/>
        <v>0</v>
      </c>
      <c r="S108" s="107">
        <f t="shared" ref="S108:S118" si="28">SUM(F108:R108)</f>
        <v>0</v>
      </c>
      <c r="T108" s="8">
        <v>105</v>
      </c>
    </row>
    <row r="109" spans="3:2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95">
        <f t="shared" si="28"/>
        <v>0</v>
      </c>
      <c r="T109" s="8">
        <v>106</v>
      </c>
    </row>
    <row r="110" spans="3:20"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95">
        <f t="shared" si="28"/>
        <v>0</v>
      </c>
      <c r="T110" s="8">
        <v>107</v>
      </c>
    </row>
    <row r="111" spans="3:20"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95">
        <f t="shared" si="28"/>
        <v>0</v>
      </c>
      <c r="T111" s="8">
        <v>108</v>
      </c>
    </row>
    <row r="112" spans="3:2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95">
        <f t="shared" si="28"/>
        <v>0</v>
      </c>
      <c r="T112" s="8">
        <v>109</v>
      </c>
    </row>
    <row r="113" spans="1:2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95">
        <f t="shared" si="28"/>
        <v>0</v>
      </c>
      <c r="T113" s="8">
        <v>110</v>
      </c>
    </row>
    <row r="114" spans="1:20"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95">
        <f t="shared" si="28"/>
        <v>0</v>
      </c>
      <c r="T114" s="8">
        <v>111</v>
      </c>
    </row>
    <row r="115" spans="1:2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95">
        <f t="shared" si="28"/>
        <v>0</v>
      </c>
      <c r="T115" s="8">
        <v>112</v>
      </c>
    </row>
    <row r="116" spans="1:2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95">
        <f t="shared" si="28"/>
        <v>0</v>
      </c>
      <c r="T116" s="8">
        <v>113</v>
      </c>
    </row>
    <row r="117" spans="1:2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95">
        <f t="shared" si="28"/>
        <v>0</v>
      </c>
      <c r="T117" s="8">
        <v>114</v>
      </c>
    </row>
    <row r="118" spans="1:20"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95">
        <f t="shared" si="28"/>
        <v>0</v>
      </c>
      <c r="T118" s="8">
        <v>115</v>
      </c>
    </row>
    <row r="119" spans="1:20" ht="15" x14ac:dyDescent="0.25">
      <c r="F119" s="13"/>
      <c r="G119" s="13"/>
      <c r="H119" s="13"/>
      <c r="I119" s="13"/>
      <c r="J119" s="13"/>
      <c r="K119" s="13"/>
      <c r="L119" s="13"/>
      <c r="M119" s="13"/>
      <c r="N119" s="13"/>
      <c r="O119" s="13"/>
      <c r="P119" s="13"/>
      <c r="Q119" s="13"/>
      <c r="R119" s="13"/>
      <c r="S119" s="95"/>
      <c r="T119" s="8">
        <v>116</v>
      </c>
    </row>
    <row r="120" spans="1:20" ht="15" x14ac:dyDescent="0.25">
      <c r="F120" s="13"/>
      <c r="G120" s="13"/>
      <c r="H120" s="13"/>
      <c r="I120" s="13"/>
      <c r="J120" s="13"/>
      <c r="K120" s="13"/>
      <c r="L120" s="13"/>
      <c r="M120" s="13"/>
      <c r="N120" s="13"/>
      <c r="O120" s="13"/>
      <c r="P120" s="13"/>
      <c r="Q120" s="13"/>
      <c r="R120" s="13"/>
      <c r="S120" s="95"/>
      <c r="T120" s="8">
        <v>117</v>
      </c>
    </row>
    <row r="121" spans="1:20" ht="20.25" x14ac:dyDescent="0.3">
      <c r="A121" s="21">
        <v>2</v>
      </c>
      <c r="B121" s="21"/>
      <c r="C121" s="21"/>
      <c r="D121" s="21"/>
      <c r="E121" s="21" t="s">
        <v>247</v>
      </c>
      <c r="F121" s="120">
        <f>F123+F133+F143+F153+F165+F173+F184+F191+F194+F198+F201+F204+F207+F210+F213+F216</f>
        <v>10988135.93</v>
      </c>
      <c r="G121" s="120">
        <f t="shared" ref="G121:R121" si="29">G123+G133+G143+G153+G165+G173+G184+G191+G194+G198+G201+G204+G207+G210+G213+G216</f>
        <v>866431.46</v>
      </c>
      <c r="H121" s="120">
        <f t="shared" si="29"/>
        <v>1079499.6200000001</v>
      </c>
      <c r="I121" s="120">
        <f t="shared" si="29"/>
        <v>871930.60999999987</v>
      </c>
      <c r="J121" s="120">
        <f t="shared" si="29"/>
        <v>2698846.91</v>
      </c>
      <c r="K121" s="120">
        <f t="shared" si="29"/>
        <v>34691699.149999999</v>
      </c>
      <c r="L121" s="120">
        <f t="shared" si="29"/>
        <v>1135448.8799999999</v>
      </c>
      <c r="M121" s="120">
        <f t="shared" si="29"/>
        <v>1802737.46</v>
      </c>
      <c r="N121" s="120">
        <f t="shared" si="29"/>
        <v>115984.84</v>
      </c>
      <c r="O121" s="120">
        <f t="shared" si="29"/>
        <v>554769.54999999993</v>
      </c>
      <c r="P121" s="120">
        <f t="shared" si="29"/>
        <v>2653888.89</v>
      </c>
      <c r="Q121" s="120">
        <f t="shared" si="29"/>
        <v>1838473</v>
      </c>
      <c r="R121" s="120">
        <f t="shared" si="29"/>
        <v>2943808.76</v>
      </c>
      <c r="S121" s="22">
        <f t="shared" ref="S121:S131" si="30">SUM(F121:R121)</f>
        <v>62241655.060000002</v>
      </c>
      <c r="T121" s="8">
        <v>118</v>
      </c>
    </row>
    <row r="122" spans="1:20" ht="15" x14ac:dyDescent="0.25">
      <c r="A122" s="7"/>
      <c r="B122" s="121">
        <v>20</v>
      </c>
      <c r="C122" s="121"/>
      <c r="D122" s="121"/>
      <c r="E122" s="121" t="s">
        <v>248</v>
      </c>
      <c r="F122" s="122">
        <f>F123+F133+F143+F153+F165+F173+F184</f>
        <v>3033265.22</v>
      </c>
      <c r="G122" s="122">
        <f t="shared" ref="G122:R122" si="31">G123+G133+G143+G153+G165+G173+G184</f>
        <v>178082.7</v>
      </c>
      <c r="H122" s="122">
        <f t="shared" si="31"/>
        <v>264669.17</v>
      </c>
      <c r="I122" s="122">
        <f t="shared" si="31"/>
        <v>1538.9</v>
      </c>
      <c r="J122" s="122">
        <f t="shared" si="31"/>
        <v>512395.25</v>
      </c>
      <c r="K122" s="122">
        <f t="shared" si="31"/>
        <v>4461676.2799999993</v>
      </c>
      <c r="L122" s="122">
        <f t="shared" si="31"/>
        <v>127769.55</v>
      </c>
      <c r="M122" s="122">
        <f t="shared" si="31"/>
        <v>51276.639999999999</v>
      </c>
      <c r="N122" s="122">
        <f t="shared" si="31"/>
        <v>19057.25</v>
      </c>
      <c r="O122" s="122">
        <f t="shared" si="31"/>
        <v>0</v>
      </c>
      <c r="P122" s="122">
        <f t="shared" si="31"/>
        <v>43762.15</v>
      </c>
      <c r="Q122" s="122">
        <f t="shared" si="31"/>
        <v>404574.95</v>
      </c>
      <c r="R122" s="122">
        <f t="shared" si="31"/>
        <v>447908.58</v>
      </c>
      <c r="S122" s="122">
        <f t="shared" si="30"/>
        <v>9545976.6400000006</v>
      </c>
      <c r="T122" s="8">
        <v>119</v>
      </c>
    </row>
    <row r="123" spans="1:20" ht="15" x14ac:dyDescent="0.25">
      <c r="C123" s="123">
        <v>200</v>
      </c>
      <c r="D123" s="123"/>
      <c r="E123" s="123" t="s">
        <v>249</v>
      </c>
      <c r="F123" s="124">
        <f>F124+F125+F126+F127+F128+F129+F130+F131</f>
        <v>61279.67</v>
      </c>
      <c r="G123" s="124">
        <f t="shared" ref="G123:R123" si="32">G124+G125+G126+G127+G128+G129+G130+G131</f>
        <v>15818.7</v>
      </c>
      <c r="H123" s="124">
        <f t="shared" si="32"/>
        <v>0</v>
      </c>
      <c r="I123" s="124">
        <f t="shared" si="32"/>
        <v>0</v>
      </c>
      <c r="J123" s="124">
        <f t="shared" si="32"/>
        <v>3599.85</v>
      </c>
      <c r="K123" s="124">
        <f t="shared" si="32"/>
        <v>170438.7</v>
      </c>
      <c r="L123" s="124">
        <f t="shared" si="32"/>
        <v>0</v>
      </c>
      <c r="M123" s="124">
        <f t="shared" si="32"/>
        <v>0</v>
      </c>
      <c r="N123" s="124">
        <f t="shared" si="32"/>
        <v>0</v>
      </c>
      <c r="O123" s="124">
        <f t="shared" si="32"/>
        <v>0</v>
      </c>
      <c r="P123" s="124">
        <f t="shared" si="32"/>
        <v>0</v>
      </c>
      <c r="Q123" s="124">
        <f t="shared" si="32"/>
        <v>15</v>
      </c>
      <c r="R123" s="124">
        <f t="shared" si="32"/>
        <v>67.5</v>
      </c>
      <c r="S123" s="124">
        <f t="shared" si="30"/>
        <v>251219.42</v>
      </c>
      <c r="T123" s="8">
        <v>120</v>
      </c>
    </row>
    <row r="124" spans="1:20" ht="15" x14ac:dyDescent="0.25">
      <c r="D124" s="8">
        <v>2000</v>
      </c>
      <c r="E124" s="8" t="s">
        <v>392</v>
      </c>
      <c r="F124" s="13">
        <v>61279.67</v>
      </c>
      <c r="G124" s="13">
        <v>15818.7</v>
      </c>
      <c r="H124" s="13">
        <v>0</v>
      </c>
      <c r="I124" s="13">
        <v>0</v>
      </c>
      <c r="J124" s="13">
        <v>3599.85</v>
      </c>
      <c r="K124" s="13">
        <v>165088.70000000001</v>
      </c>
      <c r="L124" s="13">
        <v>0</v>
      </c>
      <c r="M124" s="13">
        <v>0</v>
      </c>
      <c r="N124" s="13">
        <v>0</v>
      </c>
      <c r="O124" s="13">
        <v>0</v>
      </c>
      <c r="P124" s="13">
        <v>0</v>
      </c>
      <c r="Q124" s="13">
        <v>0</v>
      </c>
      <c r="R124" s="13">
        <v>67.5</v>
      </c>
      <c r="S124" s="95">
        <f t="shared" si="30"/>
        <v>245854.42</v>
      </c>
      <c r="T124" s="8">
        <v>121</v>
      </c>
    </row>
    <row r="125" spans="1:20" ht="15" x14ac:dyDescent="0.25">
      <c r="D125" s="8">
        <v>2001</v>
      </c>
      <c r="E125" s="8" t="s">
        <v>393</v>
      </c>
      <c r="F125" s="13">
        <v>0</v>
      </c>
      <c r="G125" s="13">
        <v>0</v>
      </c>
      <c r="H125" s="13">
        <v>0</v>
      </c>
      <c r="I125" s="13">
        <v>0</v>
      </c>
      <c r="J125" s="13">
        <v>0</v>
      </c>
      <c r="K125" s="13">
        <v>0</v>
      </c>
      <c r="L125" s="13">
        <v>0</v>
      </c>
      <c r="M125" s="13">
        <v>0</v>
      </c>
      <c r="N125" s="13">
        <v>0</v>
      </c>
      <c r="O125" s="13">
        <v>0</v>
      </c>
      <c r="P125" s="13">
        <v>0</v>
      </c>
      <c r="Q125" s="13">
        <v>15</v>
      </c>
      <c r="R125" s="13">
        <v>0</v>
      </c>
      <c r="S125" s="95">
        <f t="shared" si="30"/>
        <v>15</v>
      </c>
      <c r="T125" s="8">
        <v>122</v>
      </c>
    </row>
    <row r="126" spans="1:20" ht="15" x14ac:dyDescent="0.25">
      <c r="D126" s="8">
        <v>2002</v>
      </c>
      <c r="E126" s="8" t="s">
        <v>394</v>
      </c>
      <c r="F126" s="13">
        <v>0</v>
      </c>
      <c r="G126" s="13">
        <v>0</v>
      </c>
      <c r="H126" s="13">
        <v>0</v>
      </c>
      <c r="I126" s="13">
        <v>0</v>
      </c>
      <c r="J126" s="13">
        <v>0</v>
      </c>
      <c r="K126" s="13">
        <v>0</v>
      </c>
      <c r="L126" s="13">
        <v>0</v>
      </c>
      <c r="M126" s="13">
        <v>0</v>
      </c>
      <c r="N126" s="13">
        <v>0</v>
      </c>
      <c r="O126" s="13">
        <v>0</v>
      </c>
      <c r="P126" s="13">
        <v>0</v>
      </c>
      <c r="Q126" s="13">
        <v>0</v>
      </c>
      <c r="R126" s="13">
        <v>0</v>
      </c>
      <c r="S126" s="95">
        <f t="shared" si="30"/>
        <v>0</v>
      </c>
      <c r="T126" s="8">
        <v>123</v>
      </c>
    </row>
    <row r="127" spans="1:20" ht="15" x14ac:dyDescent="0.25">
      <c r="D127" s="8">
        <v>2003</v>
      </c>
      <c r="E127" s="8" t="s">
        <v>395</v>
      </c>
      <c r="F127" s="13">
        <v>0</v>
      </c>
      <c r="G127" s="13">
        <v>0</v>
      </c>
      <c r="H127" s="13">
        <v>0</v>
      </c>
      <c r="I127" s="13">
        <v>0</v>
      </c>
      <c r="J127" s="13">
        <v>0</v>
      </c>
      <c r="K127" s="13">
        <v>5350</v>
      </c>
      <c r="L127" s="13">
        <v>0</v>
      </c>
      <c r="M127" s="13">
        <v>0</v>
      </c>
      <c r="N127" s="13">
        <v>0</v>
      </c>
      <c r="O127" s="13">
        <v>0</v>
      </c>
      <c r="P127" s="13">
        <v>0</v>
      </c>
      <c r="Q127" s="13">
        <v>0</v>
      </c>
      <c r="R127" s="13">
        <v>0</v>
      </c>
      <c r="S127" s="95">
        <f t="shared" si="30"/>
        <v>5350</v>
      </c>
      <c r="T127" s="8">
        <v>124</v>
      </c>
    </row>
    <row r="128" spans="1:2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95">
        <f t="shared" si="30"/>
        <v>0</v>
      </c>
      <c r="T128" s="8">
        <v>125</v>
      </c>
    </row>
    <row r="129" spans="3:20" ht="15" x14ac:dyDescent="0.25">
      <c r="D129" s="8">
        <v>2005</v>
      </c>
      <c r="E129" s="8" t="s">
        <v>317</v>
      </c>
      <c r="F129" s="13">
        <v>0</v>
      </c>
      <c r="G129" s="13">
        <v>0</v>
      </c>
      <c r="H129" s="13">
        <v>0</v>
      </c>
      <c r="I129" s="13">
        <v>0</v>
      </c>
      <c r="J129" s="13">
        <v>0</v>
      </c>
      <c r="K129" s="13">
        <v>0</v>
      </c>
      <c r="L129" s="13">
        <v>0</v>
      </c>
      <c r="M129" s="13">
        <v>0</v>
      </c>
      <c r="N129" s="13">
        <v>0</v>
      </c>
      <c r="O129" s="13">
        <v>0</v>
      </c>
      <c r="P129" s="13">
        <v>0</v>
      </c>
      <c r="Q129" s="13">
        <v>0</v>
      </c>
      <c r="R129" s="13">
        <v>0</v>
      </c>
      <c r="S129" s="95">
        <f t="shared" si="30"/>
        <v>0</v>
      </c>
      <c r="T129" s="8">
        <v>126</v>
      </c>
    </row>
    <row r="130" spans="3:20" ht="15" x14ac:dyDescent="0.25">
      <c r="D130" s="8">
        <v>2006</v>
      </c>
      <c r="E130" s="8" t="s">
        <v>441</v>
      </c>
      <c r="F130" s="13">
        <v>0</v>
      </c>
      <c r="G130" s="13">
        <v>0</v>
      </c>
      <c r="H130" s="13">
        <v>0</v>
      </c>
      <c r="I130" s="13">
        <v>0</v>
      </c>
      <c r="J130" s="13">
        <v>0</v>
      </c>
      <c r="K130" s="13">
        <v>0</v>
      </c>
      <c r="L130" s="13">
        <v>0</v>
      </c>
      <c r="M130" s="13">
        <v>0</v>
      </c>
      <c r="N130" s="13">
        <v>0</v>
      </c>
      <c r="O130" s="13">
        <v>0</v>
      </c>
      <c r="P130" s="13">
        <v>0</v>
      </c>
      <c r="Q130" s="13">
        <v>0</v>
      </c>
      <c r="R130" s="13">
        <v>0</v>
      </c>
      <c r="S130" s="95">
        <f t="shared" si="30"/>
        <v>0</v>
      </c>
      <c r="T130" s="8">
        <v>127</v>
      </c>
    </row>
    <row r="131" spans="3:2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95">
        <f t="shared" si="30"/>
        <v>0</v>
      </c>
      <c r="T131" s="8">
        <v>128</v>
      </c>
    </row>
    <row r="132" spans="3:20" ht="15" x14ac:dyDescent="0.25">
      <c r="F132" s="13"/>
      <c r="G132" s="13"/>
      <c r="H132" s="13"/>
      <c r="I132" s="13"/>
      <c r="J132" s="13"/>
      <c r="K132" s="13"/>
      <c r="L132" s="13"/>
      <c r="M132" s="13"/>
      <c r="N132" s="13"/>
      <c r="O132" s="13"/>
      <c r="P132" s="13"/>
      <c r="Q132" s="13"/>
      <c r="R132" s="13"/>
      <c r="S132" s="95"/>
      <c r="T132" s="8">
        <v>129</v>
      </c>
    </row>
    <row r="133" spans="3:20" ht="15" x14ac:dyDescent="0.25">
      <c r="C133" s="123">
        <v>201</v>
      </c>
      <c r="D133" s="123"/>
      <c r="E133" s="123" t="s">
        <v>250</v>
      </c>
      <c r="F133" s="124">
        <f>F134+F135+F136+F137+F138+F139+F140+F141</f>
        <v>22000</v>
      </c>
      <c r="G133" s="124">
        <f t="shared" ref="G133:R133" si="33">G134+G135+G136+G137+G138+G139+G140+G141</f>
        <v>0</v>
      </c>
      <c r="H133" s="124">
        <f t="shared" si="33"/>
        <v>11000</v>
      </c>
      <c r="I133" s="124">
        <f t="shared" si="33"/>
        <v>0</v>
      </c>
      <c r="J133" s="124">
        <f t="shared" si="33"/>
        <v>0</v>
      </c>
      <c r="K133" s="124">
        <f t="shared" si="33"/>
        <v>0</v>
      </c>
      <c r="L133" s="124">
        <f t="shared" si="33"/>
        <v>0</v>
      </c>
      <c r="M133" s="124">
        <f t="shared" si="33"/>
        <v>0</v>
      </c>
      <c r="N133" s="124">
        <f t="shared" si="33"/>
        <v>0</v>
      </c>
      <c r="O133" s="124">
        <f t="shared" si="33"/>
        <v>0</v>
      </c>
      <c r="P133" s="124">
        <f t="shared" si="33"/>
        <v>0</v>
      </c>
      <c r="Q133" s="124">
        <f t="shared" si="33"/>
        <v>0</v>
      </c>
      <c r="R133" s="124">
        <f t="shared" si="33"/>
        <v>0</v>
      </c>
      <c r="S133" s="124">
        <f t="shared" ref="S133:S141" si="34">SUM(F133:R133)</f>
        <v>33000</v>
      </c>
      <c r="T133" s="8">
        <v>130</v>
      </c>
    </row>
    <row r="134" spans="3:20" ht="15" x14ac:dyDescent="0.25">
      <c r="D134" s="8">
        <v>2010</v>
      </c>
      <c r="E134" s="8" t="s">
        <v>399</v>
      </c>
      <c r="F134" s="13">
        <v>0</v>
      </c>
      <c r="G134" s="13">
        <v>0</v>
      </c>
      <c r="H134" s="13">
        <v>0</v>
      </c>
      <c r="I134" s="13">
        <v>0</v>
      </c>
      <c r="J134" s="13">
        <v>0</v>
      </c>
      <c r="K134" s="13">
        <v>0</v>
      </c>
      <c r="L134" s="13">
        <v>0</v>
      </c>
      <c r="M134" s="13">
        <v>0</v>
      </c>
      <c r="N134" s="13">
        <v>0</v>
      </c>
      <c r="O134" s="13">
        <v>0</v>
      </c>
      <c r="P134" s="13">
        <v>0</v>
      </c>
      <c r="Q134" s="13">
        <v>0</v>
      </c>
      <c r="R134" s="13">
        <v>0</v>
      </c>
      <c r="S134" s="95">
        <f t="shared" si="34"/>
        <v>0</v>
      </c>
      <c r="T134" s="8">
        <v>131</v>
      </c>
    </row>
    <row r="135" spans="3:20" ht="15" x14ac:dyDescent="0.25">
      <c r="D135" s="8">
        <v>2011</v>
      </c>
      <c r="E135" s="8" t="s">
        <v>400</v>
      </c>
      <c r="F135" s="13">
        <v>0</v>
      </c>
      <c r="G135" s="13">
        <v>0</v>
      </c>
      <c r="H135" s="13">
        <v>0</v>
      </c>
      <c r="I135" s="13">
        <v>0</v>
      </c>
      <c r="J135" s="13">
        <v>0</v>
      </c>
      <c r="K135" s="13">
        <v>0</v>
      </c>
      <c r="L135" s="13">
        <v>0</v>
      </c>
      <c r="M135" s="13">
        <v>0</v>
      </c>
      <c r="N135" s="13">
        <v>0</v>
      </c>
      <c r="O135" s="13">
        <v>0</v>
      </c>
      <c r="P135" s="13">
        <v>0</v>
      </c>
      <c r="Q135" s="13">
        <v>0</v>
      </c>
      <c r="R135" s="13">
        <v>0</v>
      </c>
      <c r="S135" s="95">
        <f t="shared" si="34"/>
        <v>0</v>
      </c>
      <c r="T135" s="8">
        <v>132</v>
      </c>
    </row>
    <row r="136" spans="3:2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95">
        <f t="shared" si="34"/>
        <v>0</v>
      </c>
      <c r="T136" s="8">
        <v>133</v>
      </c>
    </row>
    <row r="137" spans="3:2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95">
        <f t="shared" si="34"/>
        <v>0</v>
      </c>
      <c r="T137" s="8">
        <v>134</v>
      </c>
    </row>
    <row r="138" spans="3:20" ht="15" x14ac:dyDescent="0.25">
      <c r="D138" s="8">
        <v>2014</v>
      </c>
      <c r="E138" s="8" t="s">
        <v>404</v>
      </c>
      <c r="F138" s="13">
        <v>22000</v>
      </c>
      <c r="G138" s="13">
        <v>0</v>
      </c>
      <c r="H138" s="13">
        <v>11000</v>
      </c>
      <c r="I138" s="13">
        <v>0</v>
      </c>
      <c r="J138" s="13">
        <v>0</v>
      </c>
      <c r="K138" s="13">
        <v>0</v>
      </c>
      <c r="L138" s="13">
        <v>0</v>
      </c>
      <c r="M138" s="13">
        <v>0</v>
      </c>
      <c r="N138" s="13">
        <v>0</v>
      </c>
      <c r="O138" s="13">
        <v>0</v>
      </c>
      <c r="P138" s="13">
        <v>0</v>
      </c>
      <c r="Q138" s="13">
        <v>0</v>
      </c>
      <c r="R138" s="13">
        <v>0</v>
      </c>
      <c r="S138" s="95">
        <f t="shared" si="34"/>
        <v>33000</v>
      </c>
      <c r="T138" s="8">
        <v>135</v>
      </c>
    </row>
    <row r="139" spans="3:2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95">
        <f t="shared" si="34"/>
        <v>0</v>
      </c>
      <c r="T139" s="8">
        <v>136</v>
      </c>
    </row>
    <row r="140" spans="3:2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95">
        <f t="shared" si="34"/>
        <v>0</v>
      </c>
      <c r="T140" s="8">
        <v>137</v>
      </c>
    </row>
    <row r="141" spans="3:2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95">
        <f t="shared" si="34"/>
        <v>0</v>
      </c>
      <c r="T141" s="8">
        <v>138</v>
      </c>
    </row>
    <row r="142" spans="3:20" ht="15" x14ac:dyDescent="0.25">
      <c r="F142" s="13"/>
      <c r="G142" s="13"/>
      <c r="H142" s="13"/>
      <c r="I142" s="13"/>
      <c r="J142" s="13"/>
      <c r="K142" s="13"/>
      <c r="L142" s="13"/>
      <c r="M142" s="13"/>
      <c r="N142" s="13"/>
      <c r="O142" s="13"/>
      <c r="P142" s="13"/>
      <c r="Q142" s="13"/>
      <c r="R142" s="13"/>
      <c r="S142" s="95"/>
      <c r="T142" s="8">
        <v>139</v>
      </c>
    </row>
    <row r="143" spans="3:20" ht="15" x14ac:dyDescent="0.25">
      <c r="C143" s="123">
        <v>204</v>
      </c>
      <c r="D143" s="123"/>
      <c r="E143" s="123" t="s">
        <v>251</v>
      </c>
      <c r="F143" s="124">
        <f>F144+F145+F146+F147+F148+F149+F150+F151</f>
        <v>76474.850000000006</v>
      </c>
      <c r="G143" s="124">
        <f t="shared" ref="G143:R143" si="35">G144+G145+G146+G147+G148+G149+G150+G151</f>
        <v>0</v>
      </c>
      <c r="H143" s="124">
        <f t="shared" si="35"/>
        <v>14669.17</v>
      </c>
      <c r="I143" s="124">
        <f t="shared" si="35"/>
        <v>1538.9</v>
      </c>
      <c r="J143" s="124">
        <f t="shared" si="35"/>
        <v>37495.4</v>
      </c>
      <c r="K143" s="124">
        <f t="shared" si="35"/>
        <v>338937.57999999996</v>
      </c>
      <c r="L143" s="124">
        <f t="shared" si="35"/>
        <v>1031.7</v>
      </c>
      <c r="M143" s="124">
        <f t="shared" si="35"/>
        <v>51276.639999999999</v>
      </c>
      <c r="N143" s="124">
        <f t="shared" si="35"/>
        <v>6257.25</v>
      </c>
      <c r="O143" s="124">
        <f t="shared" si="35"/>
        <v>0</v>
      </c>
      <c r="P143" s="124">
        <f t="shared" si="35"/>
        <v>26301.95</v>
      </c>
      <c r="Q143" s="124">
        <f t="shared" si="35"/>
        <v>11319.95</v>
      </c>
      <c r="R143" s="124">
        <f t="shared" si="35"/>
        <v>12841.08</v>
      </c>
      <c r="S143" s="124">
        <f t="shared" ref="S143:S151" si="36">SUM(F143:R143)</f>
        <v>578144.46999999986</v>
      </c>
      <c r="T143" s="8">
        <v>140</v>
      </c>
    </row>
    <row r="144" spans="3:20" ht="15" x14ac:dyDescent="0.25">
      <c r="D144" s="8">
        <v>2040</v>
      </c>
      <c r="E144" s="8" t="s">
        <v>60</v>
      </c>
      <c r="F144" s="13">
        <v>34840.6</v>
      </c>
      <c r="G144" s="13">
        <v>0</v>
      </c>
      <c r="H144" s="13">
        <v>0</v>
      </c>
      <c r="I144" s="13">
        <v>0</v>
      </c>
      <c r="J144" s="13">
        <v>124</v>
      </c>
      <c r="K144" s="13">
        <v>13378.2</v>
      </c>
      <c r="L144" s="13">
        <v>0</v>
      </c>
      <c r="M144" s="13">
        <v>0</v>
      </c>
      <c r="N144" s="13">
        <v>0</v>
      </c>
      <c r="O144" s="13">
        <v>0</v>
      </c>
      <c r="P144" s="13">
        <v>0</v>
      </c>
      <c r="Q144" s="13">
        <v>0</v>
      </c>
      <c r="R144" s="13">
        <v>0</v>
      </c>
      <c r="S144" s="95">
        <f t="shared" si="36"/>
        <v>48342.8</v>
      </c>
      <c r="T144" s="8">
        <v>141</v>
      </c>
    </row>
    <row r="145" spans="3:20" ht="15" x14ac:dyDescent="0.25">
      <c r="D145" s="8">
        <v>2041</v>
      </c>
      <c r="E145" s="8" t="s">
        <v>273</v>
      </c>
      <c r="F145" s="13">
        <v>41634.25</v>
      </c>
      <c r="G145" s="13">
        <v>0</v>
      </c>
      <c r="H145" s="13">
        <v>1756.8</v>
      </c>
      <c r="I145" s="13">
        <v>0</v>
      </c>
      <c r="J145" s="13">
        <v>36971.4</v>
      </c>
      <c r="K145" s="13">
        <v>121767.95</v>
      </c>
      <c r="L145" s="13">
        <v>0</v>
      </c>
      <c r="M145" s="13">
        <v>0</v>
      </c>
      <c r="N145" s="13">
        <v>0</v>
      </c>
      <c r="O145" s="13">
        <v>0</v>
      </c>
      <c r="P145" s="13">
        <v>0</v>
      </c>
      <c r="Q145" s="13">
        <v>0</v>
      </c>
      <c r="R145" s="13">
        <v>0</v>
      </c>
      <c r="S145" s="95">
        <f t="shared" si="36"/>
        <v>202130.40000000002</v>
      </c>
      <c r="T145" s="8">
        <v>142</v>
      </c>
    </row>
    <row r="146" spans="3:20"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95">
        <f t="shared" si="36"/>
        <v>0</v>
      </c>
      <c r="T146" s="8">
        <v>143</v>
      </c>
    </row>
    <row r="147" spans="3:20" ht="15" x14ac:dyDescent="0.25">
      <c r="D147" s="8">
        <v>2043</v>
      </c>
      <c r="E147" s="8" t="s">
        <v>326</v>
      </c>
      <c r="F147" s="13">
        <v>0</v>
      </c>
      <c r="G147" s="13">
        <v>0</v>
      </c>
      <c r="H147" s="13">
        <v>0</v>
      </c>
      <c r="I147" s="13">
        <v>0</v>
      </c>
      <c r="J147" s="13">
        <v>0</v>
      </c>
      <c r="K147" s="13">
        <v>0</v>
      </c>
      <c r="L147" s="13">
        <v>0</v>
      </c>
      <c r="M147" s="13">
        <v>0</v>
      </c>
      <c r="N147" s="13">
        <v>6257.25</v>
      </c>
      <c r="O147" s="13">
        <v>0</v>
      </c>
      <c r="P147" s="13">
        <v>0</v>
      </c>
      <c r="Q147" s="13">
        <v>0</v>
      </c>
      <c r="R147" s="13">
        <v>0</v>
      </c>
      <c r="S147" s="95">
        <f t="shared" si="36"/>
        <v>6257.25</v>
      </c>
      <c r="T147" s="8">
        <v>144</v>
      </c>
    </row>
    <row r="148" spans="3:20" ht="15" x14ac:dyDescent="0.25">
      <c r="D148" s="8">
        <v>2044</v>
      </c>
      <c r="E148" s="8" t="s">
        <v>406</v>
      </c>
      <c r="F148" s="13">
        <v>0</v>
      </c>
      <c r="G148" s="13">
        <v>0</v>
      </c>
      <c r="H148" s="13">
        <v>12912.37</v>
      </c>
      <c r="I148" s="13">
        <v>0</v>
      </c>
      <c r="J148" s="13">
        <v>400</v>
      </c>
      <c r="K148" s="13">
        <v>0</v>
      </c>
      <c r="L148" s="13">
        <v>1031.7</v>
      </c>
      <c r="M148" s="13">
        <v>51276.639999999999</v>
      </c>
      <c r="N148" s="13">
        <v>0</v>
      </c>
      <c r="O148" s="13">
        <v>0</v>
      </c>
      <c r="P148" s="13">
        <v>0</v>
      </c>
      <c r="Q148" s="13">
        <v>11319.95</v>
      </c>
      <c r="R148" s="13">
        <v>12841.08</v>
      </c>
      <c r="S148" s="95">
        <f t="shared" si="36"/>
        <v>89781.74</v>
      </c>
      <c r="T148" s="8">
        <v>145</v>
      </c>
    </row>
    <row r="149" spans="3:20" ht="15" x14ac:dyDescent="0.25">
      <c r="D149" s="8">
        <v>2045</v>
      </c>
      <c r="E149" s="8" t="s">
        <v>328</v>
      </c>
      <c r="F149" s="13">
        <v>0</v>
      </c>
      <c r="G149" s="13">
        <v>0</v>
      </c>
      <c r="H149" s="13">
        <v>0</v>
      </c>
      <c r="I149" s="13">
        <v>0</v>
      </c>
      <c r="J149" s="13">
        <v>0</v>
      </c>
      <c r="K149" s="13">
        <v>0</v>
      </c>
      <c r="L149" s="13">
        <v>0</v>
      </c>
      <c r="M149" s="13">
        <v>0</v>
      </c>
      <c r="N149" s="13">
        <v>0</v>
      </c>
      <c r="O149" s="13">
        <v>0</v>
      </c>
      <c r="P149" s="13">
        <v>0</v>
      </c>
      <c r="Q149" s="13">
        <v>0</v>
      </c>
      <c r="R149" s="13">
        <v>0</v>
      </c>
      <c r="S149" s="95">
        <f t="shared" si="36"/>
        <v>0</v>
      </c>
      <c r="T149" s="8">
        <v>146</v>
      </c>
    </row>
    <row r="150" spans="3:20"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95">
        <f t="shared" si="36"/>
        <v>0</v>
      </c>
      <c r="T150" s="8">
        <v>147</v>
      </c>
    </row>
    <row r="151" spans="3:20" ht="15" x14ac:dyDescent="0.25">
      <c r="D151" s="8">
        <v>2049</v>
      </c>
      <c r="E151" s="8" t="s">
        <v>408</v>
      </c>
      <c r="F151" s="13">
        <v>0</v>
      </c>
      <c r="G151" s="13">
        <v>0</v>
      </c>
      <c r="H151" s="13">
        <v>0</v>
      </c>
      <c r="I151" s="13">
        <v>1538.9</v>
      </c>
      <c r="J151" s="13">
        <v>0</v>
      </c>
      <c r="K151" s="13">
        <v>203791.43</v>
      </c>
      <c r="L151" s="13">
        <v>0</v>
      </c>
      <c r="M151" s="13">
        <v>0</v>
      </c>
      <c r="N151" s="13">
        <v>0</v>
      </c>
      <c r="O151" s="13">
        <v>0</v>
      </c>
      <c r="P151" s="13">
        <v>26301.95</v>
      </c>
      <c r="Q151" s="13">
        <v>0</v>
      </c>
      <c r="R151" s="13">
        <v>0</v>
      </c>
      <c r="S151" s="95">
        <f t="shared" si="36"/>
        <v>231632.28</v>
      </c>
      <c r="T151" s="8">
        <v>148</v>
      </c>
    </row>
    <row r="152" spans="3:20" ht="15" x14ac:dyDescent="0.25">
      <c r="F152" s="13"/>
      <c r="G152" s="13"/>
      <c r="H152" s="13"/>
      <c r="I152" s="13"/>
      <c r="J152" s="13"/>
      <c r="K152" s="13"/>
      <c r="L152" s="13"/>
      <c r="M152" s="13"/>
      <c r="N152" s="13"/>
      <c r="O152" s="13"/>
      <c r="P152" s="13"/>
      <c r="Q152" s="13"/>
      <c r="R152" s="13"/>
      <c r="S152" s="95"/>
      <c r="T152" s="8">
        <v>149</v>
      </c>
    </row>
    <row r="153" spans="3:20" ht="15" x14ac:dyDescent="0.25">
      <c r="C153" s="123">
        <v>205</v>
      </c>
      <c r="D153" s="123"/>
      <c r="E153" s="123" t="s">
        <v>252</v>
      </c>
      <c r="F153" s="124">
        <f>F154+F155+F156+F157+F158+F159+F160+F161+F162+F163</f>
        <v>0</v>
      </c>
      <c r="G153" s="124">
        <f t="shared" ref="G153:R153" si="37">G154+G155+G156+G157+G158+G159+G160+G161+G162+G163</f>
        <v>0</v>
      </c>
      <c r="H153" s="124">
        <f t="shared" si="37"/>
        <v>0</v>
      </c>
      <c r="I153" s="124">
        <f t="shared" si="37"/>
        <v>0</v>
      </c>
      <c r="J153" s="124">
        <f t="shared" si="37"/>
        <v>0</v>
      </c>
      <c r="K153" s="124">
        <f t="shared" si="37"/>
        <v>0</v>
      </c>
      <c r="L153" s="124">
        <f t="shared" si="37"/>
        <v>0</v>
      </c>
      <c r="M153" s="124">
        <f t="shared" si="37"/>
        <v>0</v>
      </c>
      <c r="N153" s="124">
        <f t="shared" si="37"/>
        <v>0</v>
      </c>
      <c r="O153" s="124">
        <f t="shared" si="37"/>
        <v>0</v>
      </c>
      <c r="P153" s="124">
        <f t="shared" si="37"/>
        <v>17460.2</v>
      </c>
      <c r="Q153" s="124">
        <f t="shared" si="37"/>
        <v>0</v>
      </c>
      <c r="R153" s="124">
        <f t="shared" si="37"/>
        <v>0</v>
      </c>
      <c r="S153" s="124">
        <f t="shared" ref="S153:S163" si="38">SUM(F153:R153)</f>
        <v>17460.2</v>
      </c>
      <c r="T153" s="8">
        <v>150</v>
      </c>
    </row>
    <row r="154" spans="3:20" ht="15" x14ac:dyDescent="0.25">
      <c r="D154" s="8">
        <v>2050</v>
      </c>
      <c r="E154" s="8" t="s">
        <v>409</v>
      </c>
      <c r="F154" s="13">
        <v>0</v>
      </c>
      <c r="G154" s="13">
        <v>0</v>
      </c>
      <c r="H154" s="13">
        <v>0</v>
      </c>
      <c r="I154" s="13">
        <v>0</v>
      </c>
      <c r="J154" s="13">
        <v>0</v>
      </c>
      <c r="K154" s="13">
        <v>0</v>
      </c>
      <c r="L154" s="13">
        <v>0</v>
      </c>
      <c r="M154" s="13">
        <v>0</v>
      </c>
      <c r="N154" s="13">
        <v>0</v>
      </c>
      <c r="O154" s="13">
        <v>0</v>
      </c>
      <c r="P154" s="13">
        <v>0</v>
      </c>
      <c r="Q154" s="13">
        <v>0</v>
      </c>
      <c r="R154" s="13">
        <v>0</v>
      </c>
      <c r="S154" s="95">
        <f t="shared" si="38"/>
        <v>0</v>
      </c>
      <c r="T154" s="8">
        <v>151</v>
      </c>
    </row>
    <row r="155" spans="3:2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95">
        <f t="shared" si="38"/>
        <v>0</v>
      </c>
      <c r="T155" s="8">
        <v>152</v>
      </c>
    </row>
    <row r="156" spans="3:2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95">
        <f t="shared" si="38"/>
        <v>0</v>
      </c>
      <c r="T156" s="8">
        <v>153</v>
      </c>
    </row>
    <row r="157" spans="3:2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95">
        <f t="shared" si="38"/>
        <v>0</v>
      </c>
      <c r="T157" s="8">
        <v>154</v>
      </c>
    </row>
    <row r="158" spans="3:20"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95">
        <f t="shared" si="38"/>
        <v>0</v>
      </c>
      <c r="T158" s="8">
        <v>155</v>
      </c>
    </row>
    <row r="159" spans="3:20" ht="15" x14ac:dyDescent="0.25">
      <c r="D159" s="8">
        <v>2055</v>
      </c>
      <c r="E159" s="8" t="s">
        <v>412</v>
      </c>
      <c r="F159" s="13">
        <v>0</v>
      </c>
      <c r="G159" s="13">
        <v>0</v>
      </c>
      <c r="H159" s="13">
        <v>0</v>
      </c>
      <c r="I159" s="13">
        <v>0</v>
      </c>
      <c r="J159" s="13">
        <v>0</v>
      </c>
      <c r="K159" s="13">
        <v>0</v>
      </c>
      <c r="L159" s="13">
        <v>0</v>
      </c>
      <c r="M159" s="13">
        <v>0</v>
      </c>
      <c r="N159" s="13">
        <v>0</v>
      </c>
      <c r="O159" s="13">
        <v>0</v>
      </c>
      <c r="P159" s="13">
        <v>17460.2</v>
      </c>
      <c r="Q159" s="13">
        <v>0</v>
      </c>
      <c r="R159" s="13">
        <v>0</v>
      </c>
      <c r="S159" s="95">
        <f t="shared" si="38"/>
        <v>17460.2</v>
      </c>
      <c r="T159" s="8">
        <v>156</v>
      </c>
    </row>
    <row r="160" spans="3:2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95">
        <f t="shared" si="38"/>
        <v>0</v>
      </c>
      <c r="T160" s="8">
        <v>157</v>
      </c>
    </row>
    <row r="161" spans="3:2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95">
        <f t="shared" si="38"/>
        <v>0</v>
      </c>
      <c r="T161" s="8">
        <v>158</v>
      </c>
    </row>
    <row r="162" spans="3:2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95">
        <f t="shared" si="38"/>
        <v>0</v>
      </c>
      <c r="T162" s="8">
        <v>159</v>
      </c>
    </row>
    <row r="163" spans="3:20"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95">
        <f t="shared" si="38"/>
        <v>0</v>
      </c>
      <c r="T163" s="8">
        <v>160</v>
      </c>
    </row>
    <row r="164" spans="3:20" ht="15" x14ac:dyDescent="0.25">
      <c r="F164" s="13"/>
      <c r="G164" s="13"/>
      <c r="H164" s="13"/>
      <c r="I164" s="13"/>
      <c r="J164" s="13"/>
      <c r="K164" s="13"/>
      <c r="L164" s="13"/>
      <c r="M164" s="13"/>
      <c r="N164" s="13"/>
      <c r="O164" s="13"/>
      <c r="P164" s="13"/>
      <c r="Q164" s="13"/>
      <c r="R164" s="13"/>
      <c r="S164" s="95"/>
      <c r="T164" s="8">
        <v>161</v>
      </c>
    </row>
    <row r="165" spans="3:20" ht="15" x14ac:dyDescent="0.25">
      <c r="C165" s="123">
        <v>206</v>
      </c>
      <c r="D165" s="123"/>
      <c r="E165" s="123" t="s">
        <v>253</v>
      </c>
      <c r="F165" s="124">
        <f>F166+F167+F168+F169+F170+F171</f>
        <v>2870000</v>
      </c>
      <c r="G165" s="124">
        <f t="shared" ref="G165:R165" si="39">G166+G167+G168+G169+G170+G171</f>
        <v>160464</v>
      </c>
      <c r="H165" s="124">
        <f t="shared" si="39"/>
        <v>239000</v>
      </c>
      <c r="I165" s="124">
        <f t="shared" si="39"/>
        <v>0</v>
      </c>
      <c r="J165" s="124">
        <f t="shared" si="39"/>
        <v>355800</v>
      </c>
      <c r="K165" s="124">
        <f t="shared" si="39"/>
        <v>3182300</v>
      </c>
      <c r="L165" s="124">
        <f t="shared" si="39"/>
        <v>126500</v>
      </c>
      <c r="M165" s="124">
        <f t="shared" si="39"/>
        <v>0</v>
      </c>
      <c r="N165" s="124">
        <f t="shared" si="39"/>
        <v>12800</v>
      </c>
      <c r="O165" s="124">
        <f t="shared" si="39"/>
        <v>0</v>
      </c>
      <c r="P165" s="124">
        <f t="shared" si="39"/>
        <v>0</v>
      </c>
      <c r="Q165" s="124">
        <f t="shared" si="39"/>
        <v>393240</v>
      </c>
      <c r="R165" s="124">
        <f t="shared" si="39"/>
        <v>435000</v>
      </c>
      <c r="S165" s="124">
        <f t="shared" ref="S165:S171" si="40">SUM(F165:R165)</f>
        <v>7775104</v>
      </c>
      <c r="T165" s="8">
        <v>162</v>
      </c>
    </row>
    <row r="166" spans="3:20" ht="15" x14ac:dyDescent="0.25">
      <c r="D166" s="8">
        <v>2060</v>
      </c>
      <c r="E166" s="8" t="s">
        <v>419</v>
      </c>
      <c r="F166" s="13">
        <v>2870000</v>
      </c>
      <c r="G166" s="13">
        <v>0</v>
      </c>
      <c r="H166" s="13">
        <v>0</v>
      </c>
      <c r="I166" s="13">
        <v>0</v>
      </c>
      <c r="J166" s="13">
        <v>0</v>
      </c>
      <c r="K166" s="13">
        <v>3182300</v>
      </c>
      <c r="L166" s="13">
        <v>0</v>
      </c>
      <c r="M166" s="13">
        <v>0</v>
      </c>
      <c r="N166" s="13">
        <v>0</v>
      </c>
      <c r="O166" s="13">
        <v>0</v>
      </c>
      <c r="P166" s="13">
        <v>0</v>
      </c>
      <c r="Q166" s="13">
        <v>0</v>
      </c>
      <c r="R166" s="13">
        <v>435000</v>
      </c>
      <c r="S166" s="95">
        <f t="shared" si="40"/>
        <v>6487300</v>
      </c>
      <c r="T166" s="8">
        <v>163</v>
      </c>
    </row>
    <row r="167" spans="3:2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95">
        <f t="shared" si="40"/>
        <v>0</v>
      </c>
      <c r="T167" s="8">
        <v>164</v>
      </c>
    </row>
    <row r="168" spans="3:20" ht="15" x14ac:dyDescent="0.25">
      <c r="D168" s="8">
        <v>2063</v>
      </c>
      <c r="E168" s="8" t="s">
        <v>421</v>
      </c>
      <c r="F168" s="13">
        <v>0</v>
      </c>
      <c r="G168" s="13">
        <v>160464</v>
      </c>
      <c r="H168" s="13">
        <v>0</v>
      </c>
      <c r="I168" s="13">
        <v>0</v>
      </c>
      <c r="J168" s="13">
        <v>355800</v>
      </c>
      <c r="K168" s="13">
        <v>0</v>
      </c>
      <c r="L168" s="13">
        <v>126500</v>
      </c>
      <c r="M168" s="13">
        <v>0</v>
      </c>
      <c r="N168" s="13">
        <v>0</v>
      </c>
      <c r="O168" s="13">
        <v>0</v>
      </c>
      <c r="P168" s="13">
        <v>0</v>
      </c>
      <c r="Q168" s="13">
        <v>393240</v>
      </c>
      <c r="R168" s="13">
        <v>0</v>
      </c>
      <c r="S168" s="95">
        <f t="shared" si="40"/>
        <v>1036004</v>
      </c>
      <c r="T168" s="8">
        <v>165</v>
      </c>
    </row>
    <row r="169" spans="3:20" ht="15" x14ac:dyDescent="0.25">
      <c r="D169" s="8">
        <v>2064</v>
      </c>
      <c r="E169" s="8" t="s">
        <v>442</v>
      </c>
      <c r="F169" s="13">
        <v>0</v>
      </c>
      <c r="G169" s="13">
        <v>0</v>
      </c>
      <c r="H169" s="13">
        <v>239000</v>
      </c>
      <c r="I169" s="13">
        <v>0</v>
      </c>
      <c r="J169" s="13">
        <v>0</v>
      </c>
      <c r="K169" s="13">
        <v>0</v>
      </c>
      <c r="L169" s="13">
        <v>0</v>
      </c>
      <c r="M169" s="13">
        <v>0</v>
      </c>
      <c r="N169" s="13">
        <v>8800</v>
      </c>
      <c r="O169" s="13">
        <v>0</v>
      </c>
      <c r="P169" s="13">
        <v>0</v>
      </c>
      <c r="Q169" s="13">
        <v>0</v>
      </c>
      <c r="R169" s="13">
        <v>0</v>
      </c>
      <c r="S169" s="95">
        <f t="shared" si="40"/>
        <v>247800</v>
      </c>
      <c r="T169" s="8">
        <v>166</v>
      </c>
    </row>
    <row r="170" spans="3:2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95">
        <f t="shared" si="40"/>
        <v>0</v>
      </c>
      <c r="T170" s="8">
        <v>167</v>
      </c>
    </row>
    <row r="171" spans="3:20" ht="15" x14ac:dyDescent="0.25">
      <c r="D171" s="8">
        <v>2069</v>
      </c>
      <c r="E171" s="8" t="s">
        <v>424</v>
      </c>
      <c r="F171" s="13">
        <v>0</v>
      </c>
      <c r="G171" s="13">
        <v>0</v>
      </c>
      <c r="H171" s="13">
        <v>0</v>
      </c>
      <c r="I171" s="13">
        <v>0</v>
      </c>
      <c r="J171" s="13">
        <v>0</v>
      </c>
      <c r="K171" s="13">
        <v>0</v>
      </c>
      <c r="L171" s="13">
        <v>0</v>
      </c>
      <c r="M171" s="13">
        <v>0</v>
      </c>
      <c r="N171" s="13">
        <v>4000</v>
      </c>
      <c r="O171" s="13">
        <v>0</v>
      </c>
      <c r="P171" s="13">
        <v>0</v>
      </c>
      <c r="Q171" s="13">
        <v>0</v>
      </c>
      <c r="R171" s="13">
        <v>0</v>
      </c>
      <c r="S171" s="95">
        <f t="shared" si="40"/>
        <v>4000</v>
      </c>
      <c r="T171" s="8">
        <v>168</v>
      </c>
    </row>
    <row r="172" spans="3:20" ht="15" x14ac:dyDescent="0.25">
      <c r="F172" s="13"/>
      <c r="G172" s="13"/>
      <c r="H172" s="13"/>
      <c r="I172" s="13"/>
      <c r="J172" s="13"/>
      <c r="K172" s="13"/>
      <c r="L172" s="13"/>
      <c r="M172" s="13"/>
      <c r="N172" s="13"/>
      <c r="O172" s="13"/>
      <c r="P172" s="13"/>
      <c r="Q172" s="13"/>
      <c r="R172" s="13"/>
      <c r="S172" s="95"/>
      <c r="T172" s="8">
        <v>169</v>
      </c>
    </row>
    <row r="173" spans="3:20" ht="15" x14ac:dyDescent="0.25">
      <c r="C173" s="123">
        <v>208</v>
      </c>
      <c r="D173" s="123"/>
      <c r="E173" s="123" t="s">
        <v>254</v>
      </c>
      <c r="F173" s="124">
        <f>F174+F175+F176+F177+F178+F179+F180+F181+F182</f>
        <v>3510.7</v>
      </c>
      <c r="G173" s="124">
        <f t="shared" ref="G173:R173" si="41">G174+G175+G176+G177+G178+G179+G180+G181+G182</f>
        <v>1800</v>
      </c>
      <c r="H173" s="124">
        <f t="shared" si="41"/>
        <v>0</v>
      </c>
      <c r="I173" s="124">
        <f t="shared" si="41"/>
        <v>0</v>
      </c>
      <c r="J173" s="124">
        <f t="shared" si="41"/>
        <v>21800</v>
      </c>
      <c r="K173" s="124">
        <f t="shared" si="41"/>
        <v>770000</v>
      </c>
      <c r="L173" s="124">
        <f t="shared" si="41"/>
        <v>0</v>
      </c>
      <c r="M173" s="124">
        <f t="shared" si="41"/>
        <v>0</v>
      </c>
      <c r="N173" s="124">
        <f t="shared" si="41"/>
        <v>0</v>
      </c>
      <c r="O173" s="124">
        <f t="shared" si="41"/>
        <v>0</v>
      </c>
      <c r="P173" s="124">
        <f t="shared" si="41"/>
        <v>0</v>
      </c>
      <c r="Q173" s="124">
        <f t="shared" si="41"/>
        <v>0</v>
      </c>
      <c r="R173" s="124">
        <f t="shared" si="41"/>
        <v>0</v>
      </c>
      <c r="S173" s="124">
        <f t="shared" ref="S173:S182" si="42">SUM(F173:R173)</f>
        <v>797110.7</v>
      </c>
      <c r="T173" s="8">
        <v>170</v>
      </c>
    </row>
    <row r="174" spans="3:2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95">
        <f t="shared" si="42"/>
        <v>0</v>
      </c>
      <c r="T174" s="8">
        <v>171</v>
      </c>
    </row>
    <row r="175" spans="3:2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95">
        <f t="shared" si="42"/>
        <v>0</v>
      </c>
      <c r="T175" s="8">
        <v>172</v>
      </c>
    </row>
    <row r="176" spans="3:2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95">
        <f t="shared" si="42"/>
        <v>0</v>
      </c>
      <c r="T176" s="8">
        <v>173</v>
      </c>
    </row>
    <row r="177" spans="2:20" ht="15" x14ac:dyDescent="0.25">
      <c r="D177" s="8">
        <v>2084</v>
      </c>
      <c r="E177" s="8" t="s">
        <v>428</v>
      </c>
      <c r="F177" s="13">
        <v>0</v>
      </c>
      <c r="G177" s="13">
        <v>1800</v>
      </c>
      <c r="H177" s="13">
        <v>0</v>
      </c>
      <c r="I177" s="13">
        <v>0</v>
      </c>
      <c r="J177" s="13">
        <v>0</v>
      </c>
      <c r="K177" s="13">
        <v>0</v>
      </c>
      <c r="L177" s="13">
        <v>0</v>
      </c>
      <c r="M177" s="13">
        <v>0</v>
      </c>
      <c r="N177" s="13">
        <v>0</v>
      </c>
      <c r="O177" s="13">
        <v>0</v>
      </c>
      <c r="P177" s="13">
        <v>0</v>
      </c>
      <c r="Q177" s="13">
        <v>0</v>
      </c>
      <c r="R177" s="13">
        <v>0</v>
      </c>
      <c r="S177" s="95">
        <f t="shared" si="42"/>
        <v>1800</v>
      </c>
      <c r="T177" s="8">
        <v>174</v>
      </c>
    </row>
    <row r="178" spans="2:20" ht="15" x14ac:dyDescent="0.25">
      <c r="D178" s="8">
        <v>2085</v>
      </c>
      <c r="E178" s="8" t="s">
        <v>430</v>
      </c>
      <c r="F178" s="13">
        <v>3510.7</v>
      </c>
      <c r="G178" s="13">
        <v>0</v>
      </c>
      <c r="H178" s="13">
        <v>0</v>
      </c>
      <c r="I178" s="13">
        <v>0</v>
      </c>
      <c r="J178" s="13">
        <v>21800</v>
      </c>
      <c r="K178" s="13">
        <v>770000</v>
      </c>
      <c r="L178" s="13">
        <v>0</v>
      </c>
      <c r="M178" s="13">
        <v>0</v>
      </c>
      <c r="N178" s="13">
        <v>0</v>
      </c>
      <c r="O178" s="13">
        <v>0</v>
      </c>
      <c r="P178" s="13">
        <v>0</v>
      </c>
      <c r="Q178" s="13">
        <v>0</v>
      </c>
      <c r="R178" s="13">
        <v>0</v>
      </c>
      <c r="S178" s="95">
        <f t="shared" si="42"/>
        <v>795310.7</v>
      </c>
      <c r="T178" s="8">
        <v>175</v>
      </c>
    </row>
    <row r="179" spans="2:2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95">
        <f t="shared" si="42"/>
        <v>0</v>
      </c>
      <c r="T179" s="8">
        <v>176</v>
      </c>
    </row>
    <row r="180" spans="2:2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95">
        <f t="shared" si="42"/>
        <v>0</v>
      </c>
      <c r="T180" s="8">
        <v>177</v>
      </c>
    </row>
    <row r="181" spans="2:2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95">
        <f t="shared" si="42"/>
        <v>0</v>
      </c>
      <c r="T181" s="8">
        <v>178</v>
      </c>
    </row>
    <row r="182" spans="2:20" ht="15" x14ac:dyDescent="0.25">
      <c r="D182" s="8">
        <v>2089</v>
      </c>
      <c r="E182" s="8" t="s">
        <v>433</v>
      </c>
      <c r="F182" s="13">
        <v>0</v>
      </c>
      <c r="G182" s="13">
        <v>0</v>
      </c>
      <c r="H182" s="13">
        <v>0</v>
      </c>
      <c r="I182" s="13">
        <v>0</v>
      </c>
      <c r="J182" s="13">
        <v>0</v>
      </c>
      <c r="K182" s="13">
        <v>0</v>
      </c>
      <c r="L182" s="13">
        <v>0</v>
      </c>
      <c r="M182" s="13">
        <v>0</v>
      </c>
      <c r="N182" s="13">
        <v>0</v>
      </c>
      <c r="O182" s="13">
        <v>0</v>
      </c>
      <c r="P182" s="13">
        <v>0</v>
      </c>
      <c r="Q182" s="13">
        <v>0</v>
      </c>
      <c r="R182" s="13">
        <v>0</v>
      </c>
      <c r="S182" s="95">
        <f t="shared" si="42"/>
        <v>0</v>
      </c>
      <c r="T182" s="8">
        <v>179</v>
      </c>
    </row>
    <row r="183" spans="2:20" ht="15" x14ac:dyDescent="0.25">
      <c r="F183" s="13"/>
      <c r="G183" s="13"/>
      <c r="H183" s="13"/>
      <c r="I183" s="13"/>
      <c r="J183" s="13"/>
      <c r="K183" s="13"/>
      <c r="L183" s="13"/>
      <c r="M183" s="13"/>
      <c r="N183" s="13"/>
      <c r="O183" s="13"/>
      <c r="P183" s="13"/>
      <c r="Q183" s="13"/>
      <c r="R183" s="13"/>
      <c r="S183" s="95"/>
      <c r="T183" s="8">
        <v>180</v>
      </c>
    </row>
    <row r="184" spans="2:20" ht="15" x14ac:dyDescent="0.25">
      <c r="C184" s="123">
        <v>209</v>
      </c>
      <c r="D184" s="123"/>
      <c r="E184" s="123" t="s">
        <v>255</v>
      </c>
      <c r="F184" s="124">
        <f>F185+F186+F187+F188</f>
        <v>0</v>
      </c>
      <c r="G184" s="124">
        <f t="shared" ref="G184:R184" si="43">G185+G186+G187+G188</f>
        <v>0</v>
      </c>
      <c r="H184" s="124">
        <f t="shared" si="43"/>
        <v>0</v>
      </c>
      <c r="I184" s="124">
        <f t="shared" si="43"/>
        <v>0</v>
      </c>
      <c r="J184" s="124">
        <f t="shared" si="43"/>
        <v>93700</v>
      </c>
      <c r="K184" s="124">
        <f t="shared" si="43"/>
        <v>0</v>
      </c>
      <c r="L184" s="124">
        <f t="shared" si="43"/>
        <v>237.85</v>
      </c>
      <c r="M184" s="124">
        <f t="shared" si="43"/>
        <v>0</v>
      </c>
      <c r="N184" s="124">
        <f t="shared" si="43"/>
        <v>0</v>
      </c>
      <c r="O184" s="124">
        <f t="shared" si="43"/>
        <v>0</v>
      </c>
      <c r="P184" s="124">
        <f t="shared" si="43"/>
        <v>0</v>
      </c>
      <c r="Q184" s="124">
        <f t="shared" si="43"/>
        <v>0</v>
      </c>
      <c r="R184" s="124">
        <f t="shared" si="43"/>
        <v>0</v>
      </c>
      <c r="S184" s="124">
        <f>SUM(F184:R184)</f>
        <v>93937.85</v>
      </c>
      <c r="T184" s="8">
        <v>181</v>
      </c>
    </row>
    <row r="185" spans="2:20" ht="15" x14ac:dyDescent="0.25">
      <c r="D185" s="8">
        <v>2090</v>
      </c>
      <c r="E185" s="8" t="s">
        <v>255</v>
      </c>
      <c r="F185" s="13">
        <v>0</v>
      </c>
      <c r="G185" s="13">
        <v>0</v>
      </c>
      <c r="H185" s="13">
        <v>0</v>
      </c>
      <c r="I185" s="13">
        <v>0</v>
      </c>
      <c r="J185" s="13">
        <v>93700</v>
      </c>
      <c r="K185" s="13">
        <v>0</v>
      </c>
      <c r="L185" s="13">
        <v>0</v>
      </c>
      <c r="M185" s="13">
        <v>0</v>
      </c>
      <c r="N185" s="13">
        <v>0</v>
      </c>
      <c r="O185" s="13">
        <v>0</v>
      </c>
      <c r="P185" s="13">
        <v>0</v>
      </c>
      <c r="Q185" s="13">
        <v>0</v>
      </c>
      <c r="R185" s="13">
        <v>0</v>
      </c>
      <c r="S185" s="95">
        <f>SUM(F185:R185)</f>
        <v>93700</v>
      </c>
      <c r="T185" s="8">
        <v>182</v>
      </c>
    </row>
    <row r="186" spans="2:20" ht="15" x14ac:dyDescent="0.25">
      <c r="D186" s="8">
        <v>2091</v>
      </c>
      <c r="E186" s="8" t="s">
        <v>434</v>
      </c>
      <c r="F186" s="13">
        <v>0</v>
      </c>
      <c r="G186" s="13">
        <v>0</v>
      </c>
      <c r="H186" s="13">
        <v>0</v>
      </c>
      <c r="I186" s="13">
        <v>0</v>
      </c>
      <c r="J186" s="13">
        <v>0</v>
      </c>
      <c r="K186" s="13">
        <v>0</v>
      </c>
      <c r="L186" s="13">
        <v>237.85</v>
      </c>
      <c r="M186" s="13">
        <v>0</v>
      </c>
      <c r="N186" s="13">
        <v>0</v>
      </c>
      <c r="O186" s="13">
        <v>0</v>
      </c>
      <c r="P186" s="13">
        <v>0</v>
      </c>
      <c r="Q186" s="13">
        <v>0</v>
      </c>
      <c r="R186" s="13">
        <v>0</v>
      </c>
      <c r="S186" s="95">
        <f>SUM(F186:R186)</f>
        <v>237.85</v>
      </c>
      <c r="T186" s="8">
        <v>183</v>
      </c>
    </row>
    <row r="187" spans="2:2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95">
        <f>SUM(F187:R187)</f>
        <v>0</v>
      </c>
      <c r="T187" s="8">
        <v>184</v>
      </c>
    </row>
    <row r="188" spans="2:2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95">
        <f>SUM(F188:R188)</f>
        <v>0</v>
      </c>
      <c r="T188" s="8">
        <v>185</v>
      </c>
    </row>
    <row r="189" spans="2:20" ht="15" x14ac:dyDescent="0.25">
      <c r="F189" s="13"/>
      <c r="G189" s="13"/>
      <c r="H189" s="13"/>
      <c r="I189" s="13"/>
      <c r="J189" s="13"/>
      <c r="K189" s="13"/>
      <c r="L189" s="13"/>
      <c r="M189" s="13"/>
      <c r="N189" s="13"/>
      <c r="O189" s="13"/>
      <c r="P189" s="13"/>
      <c r="Q189" s="13"/>
      <c r="R189" s="13"/>
      <c r="S189" s="95"/>
      <c r="T189" s="8">
        <v>186</v>
      </c>
    </row>
    <row r="190" spans="2:20" ht="15" x14ac:dyDescent="0.25">
      <c r="B190" s="121">
        <v>29</v>
      </c>
      <c r="C190" s="121"/>
      <c r="D190" s="121"/>
      <c r="E190" s="121" t="s">
        <v>256</v>
      </c>
      <c r="F190" s="122">
        <f>F191+F194+F198+F201+F204+F207+F210+F213+F216</f>
        <v>7954870.71</v>
      </c>
      <c r="G190" s="122">
        <f t="shared" ref="G190:S190" si="44">G191+G194+G198+G201+G204+G207+G210+G213+G216</f>
        <v>688348.76</v>
      </c>
      <c r="H190" s="122">
        <f t="shared" si="44"/>
        <v>814830.45000000007</v>
      </c>
      <c r="I190" s="122">
        <f t="shared" si="44"/>
        <v>870391.71</v>
      </c>
      <c r="J190" s="122">
        <f t="shared" si="44"/>
        <v>2186451.66</v>
      </c>
      <c r="K190" s="122">
        <f t="shared" si="44"/>
        <v>30230022.870000001</v>
      </c>
      <c r="L190" s="122">
        <f t="shared" si="44"/>
        <v>1007679.33</v>
      </c>
      <c r="M190" s="122">
        <f t="shared" si="44"/>
        <v>1751460.82</v>
      </c>
      <c r="N190" s="122">
        <f t="shared" si="44"/>
        <v>96927.59</v>
      </c>
      <c r="O190" s="122">
        <f t="shared" si="44"/>
        <v>554769.54999999993</v>
      </c>
      <c r="P190" s="122">
        <f t="shared" si="44"/>
        <v>2610126.7400000002</v>
      </c>
      <c r="Q190" s="122">
        <f t="shared" si="44"/>
        <v>1433898.05</v>
      </c>
      <c r="R190" s="122">
        <f t="shared" si="44"/>
        <v>2495900.1800000002</v>
      </c>
      <c r="S190" s="122">
        <f t="shared" si="44"/>
        <v>52695678.420000002</v>
      </c>
      <c r="T190" s="8">
        <v>187</v>
      </c>
    </row>
    <row r="191" spans="2:20" ht="15" x14ac:dyDescent="0.25">
      <c r="C191" s="123">
        <v>290</v>
      </c>
      <c r="D191" s="123"/>
      <c r="E191" s="123" t="s">
        <v>257</v>
      </c>
      <c r="F191" s="124">
        <f>F192</f>
        <v>338123.14</v>
      </c>
      <c r="G191" s="124">
        <f t="shared" ref="G191:R191" si="45">G192</f>
        <v>37619.440000000002</v>
      </c>
      <c r="H191" s="124">
        <f t="shared" si="45"/>
        <v>45413.5</v>
      </c>
      <c r="I191" s="124">
        <f t="shared" si="45"/>
        <v>14449.29</v>
      </c>
      <c r="J191" s="124">
        <f t="shared" si="45"/>
        <v>431607.54</v>
      </c>
      <c r="K191" s="124">
        <f t="shared" si="45"/>
        <v>3065881.18</v>
      </c>
      <c r="L191" s="124">
        <f t="shared" si="45"/>
        <v>54798.85</v>
      </c>
      <c r="M191" s="124">
        <f t="shared" si="45"/>
        <v>397098.98</v>
      </c>
      <c r="N191" s="124">
        <f t="shared" si="45"/>
        <v>20054.47</v>
      </c>
      <c r="O191" s="124">
        <f t="shared" si="45"/>
        <v>108625.13</v>
      </c>
      <c r="P191" s="124">
        <f t="shared" si="45"/>
        <v>86653.33</v>
      </c>
      <c r="Q191" s="124">
        <f t="shared" si="45"/>
        <v>168142.25</v>
      </c>
      <c r="R191" s="124">
        <f t="shared" si="45"/>
        <v>366169.43</v>
      </c>
      <c r="S191" s="124">
        <f>SUM(F191:R191)</f>
        <v>5134636.5299999993</v>
      </c>
      <c r="T191" s="8">
        <v>188</v>
      </c>
    </row>
    <row r="192" spans="2:20" ht="15" x14ac:dyDescent="0.25">
      <c r="D192" s="8">
        <v>2900</v>
      </c>
      <c r="E192" s="8" t="s">
        <v>257</v>
      </c>
      <c r="F192" s="13">
        <v>338123.14</v>
      </c>
      <c r="G192" s="13">
        <v>37619.440000000002</v>
      </c>
      <c r="H192" s="13">
        <v>45413.5</v>
      </c>
      <c r="I192" s="13">
        <v>14449.29</v>
      </c>
      <c r="J192" s="13">
        <v>431607.54</v>
      </c>
      <c r="K192" s="13">
        <v>3065881.18</v>
      </c>
      <c r="L192" s="13">
        <v>54798.85</v>
      </c>
      <c r="M192" s="13">
        <v>397098.98</v>
      </c>
      <c r="N192" s="13">
        <v>20054.47</v>
      </c>
      <c r="O192" s="13">
        <v>108625.13</v>
      </c>
      <c r="P192" s="13">
        <v>86653.33</v>
      </c>
      <c r="Q192" s="13">
        <v>168142.25</v>
      </c>
      <c r="R192" s="13">
        <v>366169.43</v>
      </c>
      <c r="S192" s="95">
        <f>SUM(F192:R192)</f>
        <v>5134636.5299999993</v>
      </c>
      <c r="T192" s="8">
        <v>189</v>
      </c>
    </row>
    <row r="193" spans="3:20" ht="15" x14ac:dyDescent="0.25">
      <c r="F193" s="13"/>
      <c r="G193" s="13"/>
      <c r="H193" s="13"/>
      <c r="I193" s="13"/>
      <c r="J193" s="13"/>
      <c r="K193" s="13"/>
      <c r="L193" s="13"/>
      <c r="M193" s="13"/>
      <c r="N193" s="13"/>
      <c r="O193" s="13"/>
      <c r="P193" s="13"/>
      <c r="Q193" s="13"/>
      <c r="R193" s="13"/>
      <c r="S193" s="95"/>
      <c r="T193" s="8">
        <v>190</v>
      </c>
    </row>
    <row r="194" spans="3:20" ht="15" x14ac:dyDescent="0.25">
      <c r="C194" s="123">
        <v>291</v>
      </c>
      <c r="D194" s="123"/>
      <c r="E194" s="123" t="s">
        <v>258</v>
      </c>
      <c r="F194" s="124">
        <f>F195+F196</f>
        <v>0</v>
      </c>
      <c r="G194" s="124">
        <f t="shared" ref="G194:R194" si="46">G195+G196</f>
        <v>0</v>
      </c>
      <c r="H194" s="124">
        <f t="shared" si="46"/>
        <v>0</v>
      </c>
      <c r="I194" s="124">
        <f t="shared" si="46"/>
        <v>0</v>
      </c>
      <c r="J194" s="124">
        <f t="shared" si="46"/>
        <v>0</v>
      </c>
      <c r="K194" s="124">
        <f t="shared" si="46"/>
        <v>0</v>
      </c>
      <c r="L194" s="124">
        <f t="shared" si="46"/>
        <v>0</v>
      </c>
      <c r="M194" s="124">
        <f t="shared" si="46"/>
        <v>0</v>
      </c>
      <c r="N194" s="124">
        <f t="shared" si="46"/>
        <v>0</v>
      </c>
      <c r="O194" s="124">
        <f t="shared" si="46"/>
        <v>0</v>
      </c>
      <c r="P194" s="124">
        <f t="shared" si="46"/>
        <v>0</v>
      </c>
      <c r="Q194" s="124">
        <f t="shared" si="46"/>
        <v>0</v>
      </c>
      <c r="R194" s="124">
        <f t="shared" si="46"/>
        <v>0</v>
      </c>
      <c r="S194" s="124">
        <f>SUM(F194:R194)</f>
        <v>0</v>
      </c>
      <c r="T194" s="8">
        <v>191</v>
      </c>
    </row>
    <row r="195" spans="3:20"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95">
        <f>SUM(F195:R195)</f>
        <v>0</v>
      </c>
      <c r="T195" s="8">
        <v>192</v>
      </c>
    </row>
    <row r="196" spans="3:20"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95">
        <f>SUM(F196:R196)</f>
        <v>0</v>
      </c>
      <c r="T196" s="8">
        <v>193</v>
      </c>
    </row>
    <row r="197" spans="3:20" ht="15" x14ac:dyDescent="0.25">
      <c r="F197" s="13"/>
      <c r="G197" s="13"/>
      <c r="H197" s="13"/>
      <c r="I197" s="13"/>
      <c r="J197" s="13"/>
      <c r="K197" s="13"/>
      <c r="L197" s="13"/>
      <c r="M197" s="13"/>
      <c r="N197" s="13"/>
      <c r="O197" s="13"/>
      <c r="P197" s="13"/>
      <c r="Q197" s="13"/>
      <c r="R197" s="13"/>
      <c r="S197" s="95"/>
      <c r="T197" s="8">
        <v>194</v>
      </c>
    </row>
    <row r="198" spans="3:20" ht="15" x14ac:dyDescent="0.25">
      <c r="C198" s="123">
        <v>292</v>
      </c>
      <c r="D198" s="123"/>
      <c r="E198" s="123" t="s">
        <v>259</v>
      </c>
      <c r="F198" s="124">
        <f>F199</f>
        <v>0</v>
      </c>
      <c r="G198" s="124">
        <f t="shared" ref="G198:R198" si="47">G199</f>
        <v>0</v>
      </c>
      <c r="H198" s="124">
        <f t="shared" si="47"/>
        <v>0</v>
      </c>
      <c r="I198" s="124">
        <f t="shared" si="47"/>
        <v>0</v>
      </c>
      <c r="J198" s="124">
        <f t="shared" si="47"/>
        <v>0</v>
      </c>
      <c r="K198" s="124">
        <f t="shared" si="47"/>
        <v>0</v>
      </c>
      <c r="L198" s="124">
        <f t="shared" si="47"/>
        <v>0</v>
      </c>
      <c r="M198" s="124">
        <f t="shared" si="47"/>
        <v>0</v>
      </c>
      <c r="N198" s="124">
        <f t="shared" si="47"/>
        <v>0</v>
      </c>
      <c r="O198" s="124">
        <f t="shared" si="47"/>
        <v>0</v>
      </c>
      <c r="P198" s="124">
        <f t="shared" si="47"/>
        <v>0</v>
      </c>
      <c r="Q198" s="124">
        <f t="shared" si="47"/>
        <v>0</v>
      </c>
      <c r="R198" s="124">
        <f t="shared" si="47"/>
        <v>3500</v>
      </c>
      <c r="S198" s="124">
        <f>SUM(F198:R198)</f>
        <v>3500</v>
      </c>
      <c r="T198" s="8">
        <v>195</v>
      </c>
    </row>
    <row r="199" spans="3:2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3500</v>
      </c>
      <c r="S199" s="95">
        <f>SUM(F199:R199)</f>
        <v>3500</v>
      </c>
      <c r="T199" s="8">
        <v>196</v>
      </c>
    </row>
    <row r="200" spans="3:20" ht="15" x14ac:dyDescent="0.25">
      <c r="F200" s="13"/>
      <c r="G200" s="13"/>
      <c r="H200" s="13"/>
      <c r="I200" s="13"/>
      <c r="J200" s="13"/>
      <c r="K200" s="13"/>
      <c r="L200" s="13"/>
      <c r="M200" s="13"/>
      <c r="N200" s="13"/>
      <c r="O200" s="13"/>
      <c r="P200" s="13"/>
      <c r="Q200" s="13"/>
      <c r="R200" s="13"/>
      <c r="S200" s="95"/>
      <c r="T200" s="8">
        <v>197</v>
      </c>
    </row>
    <row r="201" spans="3:20" ht="15" x14ac:dyDescent="0.25">
      <c r="C201" s="123">
        <v>293</v>
      </c>
      <c r="D201" s="123"/>
      <c r="E201" s="123" t="s">
        <v>260</v>
      </c>
      <c r="F201" s="124">
        <f>F202</f>
        <v>0</v>
      </c>
      <c r="G201" s="124">
        <f t="shared" ref="G201:R201" si="48">G202</f>
        <v>0</v>
      </c>
      <c r="H201" s="124">
        <f t="shared" si="48"/>
        <v>0</v>
      </c>
      <c r="I201" s="124">
        <f t="shared" si="48"/>
        <v>0</v>
      </c>
      <c r="J201" s="124">
        <f t="shared" si="48"/>
        <v>0</v>
      </c>
      <c r="K201" s="124">
        <f t="shared" si="48"/>
        <v>0</v>
      </c>
      <c r="L201" s="124">
        <f t="shared" si="48"/>
        <v>0</v>
      </c>
      <c r="M201" s="124">
        <f t="shared" si="48"/>
        <v>0</v>
      </c>
      <c r="N201" s="124">
        <f t="shared" si="48"/>
        <v>0</v>
      </c>
      <c r="O201" s="124">
        <f t="shared" si="48"/>
        <v>0</v>
      </c>
      <c r="P201" s="124">
        <f t="shared" si="48"/>
        <v>0</v>
      </c>
      <c r="Q201" s="124">
        <f t="shared" si="48"/>
        <v>0</v>
      </c>
      <c r="R201" s="124">
        <f t="shared" si="48"/>
        <v>0</v>
      </c>
      <c r="S201" s="124">
        <f>SUM(F201:R201)</f>
        <v>0</v>
      </c>
      <c r="T201" s="8">
        <v>198</v>
      </c>
    </row>
    <row r="202" spans="3:20" ht="15" x14ac:dyDescent="0.25">
      <c r="D202" s="8">
        <v>2930</v>
      </c>
      <c r="E202" s="8" t="s">
        <v>260</v>
      </c>
      <c r="F202" s="13">
        <v>0</v>
      </c>
      <c r="G202" s="13">
        <v>0</v>
      </c>
      <c r="H202" s="13">
        <v>0</v>
      </c>
      <c r="I202" s="13">
        <v>0</v>
      </c>
      <c r="J202" s="13">
        <v>0</v>
      </c>
      <c r="K202" s="13">
        <v>0</v>
      </c>
      <c r="L202" s="13">
        <v>0</v>
      </c>
      <c r="M202" s="13">
        <v>0</v>
      </c>
      <c r="N202" s="13">
        <v>0</v>
      </c>
      <c r="O202" s="13">
        <v>0</v>
      </c>
      <c r="P202" s="13">
        <v>0</v>
      </c>
      <c r="Q202" s="13">
        <v>0</v>
      </c>
      <c r="R202" s="13">
        <v>0</v>
      </c>
      <c r="S202" s="95">
        <f>SUM(F202:R202)</f>
        <v>0</v>
      </c>
      <c r="T202" s="8">
        <v>199</v>
      </c>
    </row>
    <row r="203" spans="3:20" ht="15" x14ac:dyDescent="0.25">
      <c r="F203" s="13"/>
      <c r="G203" s="13"/>
      <c r="H203" s="13"/>
      <c r="I203" s="13"/>
      <c r="J203" s="13"/>
      <c r="K203" s="13"/>
      <c r="L203" s="13"/>
      <c r="M203" s="13"/>
      <c r="N203" s="13"/>
      <c r="O203" s="13"/>
      <c r="P203" s="13"/>
      <c r="Q203" s="13"/>
      <c r="R203" s="13"/>
      <c r="S203" s="95"/>
      <c r="T203" s="8">
        <v>200</v>
      </c>
    </row>
    <row r="204" spans="3:20" ht="15" x14ac:dyDescent="0.25">
      <c r="C204" s="123">
        <v>294</v>
      </c>
      <c r="D204" s="123"/>
      <c r="E204" s="123" t="s">
        <v>261</v>
      </c>
      <c r="F204" s="124">
        <f>F205</f>
        <v>0</v>
      </c>
      <c r="G204" s="124">
        <f t="shared" ref="G204:R204" si="49">G205</f>
        <v>0</v>
      </c>
      <c r="H204" s="124">
        <f t="shared" si="49"/>
        <v>0</v>
      </c>
      <c r="I204" s="124">
        <f t="shared" si="49"/>
        <v>0</v>
      </c>
      <c r="J204" s="124">
        <f t="shared" si="49"/>
        <v>0</v>
      </c>
      <c r="K204" s="124">
        <f t="shared" si="49"/>
        <v>10000</v>
      </c>
      <c r="L204" s="124">
        <f t="shared" si="49"/>
        <v>0</v>
      </c>
      <c r="M204" s="124">
        <f t="shared" si="49"/>
        <v>0</v>
      </c>
      <c r="N204" s="124">
        <f t="shared" si="49"/>
        <v>0</v>
      </c>
      <c r="O204" s="124">
        <f t="shared" si="49"/>
        <v>60181.84</v>
      </c>
      <c r="P204" s="124">
        <f t="shared" si="49"/>
        <v>104655.4</v>
      </c>
      <c r="Q204" s="124">
        <f t="shared" si="49"/>
        <v>0</v>
      </c>
      <c r="R204" s="124">
        <f t="shared" si="49"/>
        <v>0</v>
      </c>
      <c r="S204" s="124">
        <f>SUM(F204:R204)</f>
        <v>174837.24</v>
      </c>
      <c r="T204" s="8">
        <v>201</v>
      </c>
    </row>
    <row r="205" spans="3:20" ht="15" x14ac:dyDescent="0.25">
      <c r="D205" s="8">
        <v>2940</v>
      </c>
      <c r="E205" s="8" t="s">
        <v>261</v>
      </c>
      <c r="F205" s="13">
        <v>0</v>
      </c>
      <c r="G205" s="13">
        <v>0</v>
      </c>
      <c r="H205" s="13">
        <v>0</v>
      </c>
      <c r="I205" s="13">
        <v>0</v>
      </c>
      <c r="J205" s="13">
        <v>0</v>
      </c>
      <c r="K205" s="13">
        <v>10000</v>
      </c>
      <c r="L205" s="13">
        <v>0</v>
      </c>
      <c r="M205" s="13">
        <v>0</v>
      </c>
      <c r="N205" s="13">
        <v>0</v>
      </c>
      <c r="O205" s="13">
        <v>60181.84</v>
      </c>
      <c r="P205" s="13">
        <v>104655.4</v>
      </c>
      <c r="Q205" s="13">
        <v>0</v>
      </c>
      <c r="R205" s="13">
        <v>0</v>
      </c>
      <c r="S205" s="95">
        <f>SUM(F205:R205)</f>
        <v>174837.24</v>
      </c>
      <c r="T205" s="8">
        <v>202</v>
      </c>
    </row>
    <row r="206" spans="3:20" ht="15" x14ac:dyDescent="0.25">
      <c r="F206" s="13"/>
      <c r="G206" s="13"/>
      <c r="H206" s="13"/>
      <c r="I206" s="13"/>
      <c r="J206" s="13"/>
      <c r="K206" s="13"/>
      <c r="L206" s="13"/>
      <c r="M206" s="13"/>
      <c r="N206" s="13"/>
      <c r="O206" s="13"/>
      <c r="P206" s="13"/>
      <c r="Q206" s="13"/>
      <c r="R206" s="13"/>
      <c r="S206" s="95"/>
      <c r="T206" s="8">
        <v>203</v>
      </c>
    </row>
    <row r="207" spans="3:20" ht="15" x14ac:dyDescent="0.25">
      <c r="C207" s="123">
        <v>295</v>
      </c>
      <c r="D207" s="123"/>
      <c r="E207" s="123" t="s">
        <v>262</v>
      </c>
      <c r="F207" s="124">
        <f>F208</f>
        <v>0</v>
      </c>
      <c r="G207" s="124">
        <f t="shared" ref="G207:R207" si="50">G208</f>
        <v>0</v>
      </c>
      <c r="H207" s="124">
        <f>H208</f>
        <v>0</v>
      </c>
      <c r="I207" s="124">
        <f t="shared" si="50"/>
        <v>0</v>
      </c>
      <c r="J207" s="124">
        <f t="shared" si="50"/>
        <v>0</v>
      </c>
      <c r="K207" s="124">
        <f t="shared" si="50"/>
        <v>0</v>
      </c>
      <c r="L207" s="124">
        <f t="shared" si="50"/>
        <v>0</v>
      </c>
      <c r="M207" s="124">
        <f t="shared" si="50"/>
        <v>0</v>
      </c>
      <c r="N207" s="124">
        <f t="shared" si="50"/>
        <v>0</v>
      </c>
      <c r="O207" s="124">
        <f t="shared" si="50"/>
        <v>0</v>
      </c>
      <c r="P207" s="124">
        <f t="shared" si="50"/>
        <v>9000</v>
      </c>
      <c r="Q207" s="124">
        <f t="shared" si="50"/>
        <v>0</v>
      </c>
      <c r="R207" s="124">
        <f t="shared" si="50"/>
        <v>0</v>
      </c>
      <c r="S207" s="124">
        <f>SUM(F207:R207)</f>
        <v>9000</v>
      </c>
      <c r="T207" s="8">
        <v>204</v>
      </c>
    </row>
    <row r="208" spans="3:20" ht="15" x14ac:dyDescent="0.25">
      <c r="D208" s="8">
        <v>2950</v>
      </c>
      <c r="E208" s="8" t="s">
        <v>262</v>
      </c>
      <c r="F208" s="13">
        <v>0</v>
      </c>
      <c r="G208" s="13">
        <v>0</v>
      </c>
      <c r="H208" s="13">
        <v>0</v>
      </c>
      <c r="I208" s="13">
        <v>0</v>
      </c>
      <c r="J208" s="13">
        <v>0</v>
      </c>
      <c r="K208" s="13">
        <v>0</v>
      </c>
      <c r="L208" s="13">
        <v>0</v>
      </c>
      <c r="M208" s="13">
        <v>0</v>
      </c>
      <c r="N208" s="13">
        <v>0</v>
      </c>
      <c r="O208" s="13">
        <v>0</v>
      </c>
      <c r="P208" s="13">
        <v>9000</v>
      </c>
      <c r="Q208" s="13">
        <v>0</v>
      </c>
      <c r="R208" s="13">
        <v>0</v>
      </c>
      <c r="S208" s="95">
        <f>SUM(F208:R208)</f>
        <v>9000</v>
      </c>
      <c r="T208" s="8">
        <v>205</v>
      </c>
    </row>
    <row r="209" spans="3:20" ht="15" x14ac:dyDescent="0.25">
      <c r="F209" s="13"/>
      <c r="G209" s="13"/>
      <c r="H209" s="13"/>
      <c r="I209" s="13"/>
      <c r="J209" s="13"/>
      <c r="K209" s="13"/>
      <c r="L209" s="13"/>
      <c r="M209" s="13"/>
      <c r="N209" s="13"/>
      <c r="O209" s="13"/>
      <c r="P209" s="13"/>
      <c r="Q209" s="13"/>
      <c r="R209" s="13"/>
      <c r="S209" s="95"/>
      <c r="T209" s="8">
        <v>206</v>
      </c>
    </row>
    <row r="210" spans="3:20" ht="15" x14ac:dyDescent="0.25">
      <c r="C210" s="123">
        <v>296</v>
      </c>
      <c r="D210" s="123"/>
      <c r="E210" s="123" t="s">
        <v>263</v>
      </c>
      <c r="F210" s="124">
        <f>F211</f>
        <v>289888</v>
      </c>
      <c r="G210" s="124">
        <f t="shared" ref="G210:R210" si="51">G211</f>
        <v>0</v>
      </c>
      <c r="H210" s="124">
        <f t="shared" si="51"/>
        <v>0</v>
      </c>
      <c r="I210" s="124">
        <f t="shared" si="51"/>
        <v>0</v>
      </c>
      <c r="J210" s="124">
        <f t="shared" si="51"/>
        <v>0</v>
      </c>
      <c r="K210" s="124">
        <f t="shared" si="51"/>
        <v>23553589</v>
      </c>
      <c r="L210" s="124">
        <f t="shared" si="51"/>
        <v>0</v>
      </c>
      <c r="M210" s="124">
        <f t="shared" si="51"/>
        <v>0</v>
      </c>
      <c r="N210" s="124">
        <f t="shared" si="51"/>
        <v>0</v>
      </c>
      <c r="O210" s="124">
        <f t="shared" si="51"/>
        <v>0</v>
      </c>
      <c r="P210" s="124">
        <f t="shared" si="51"/>
        <v>0</v>
      </c>
      <c r="Q210" s="124">
        <f t="shared" si="51"/>
        <v>0</v>
      </c>
      <c r="R210" s="124">
        <f t="shared" si="51"/>
        <v>0</v>
      </c>
      <c r="S210" s="124">
        <f>SUM(F210:R210)</f>
        <v>23843477</v>
      </c>
      <c r="T210" s="8">
        <v>207</v>
      </c>
    </row>
    <row r="211" spans="3:20" ht="15" x14ac:dyDescent="0.25">
      <c r="D211" s="8">
        <v>2960</v>
      </c>
      <c r="E211" s="8" t="s">
        <v>263</v>
      </c>
      <c r="F211" s="13">
        <v>289888</v>
      </c>
      <c r="G211" s="13">
        <v>0</v>
      </c>
      <c r="H211" s="13">
        <v>0</v>
      </c>
      <c r="I211" s="13">
        <v>0</v>
      </c>
      <c r="J211" s="13">
        <v>0</v>
      </c>
      <c r="K211" s="13">
        <v>23553589</v>
      </c>
      <c r="L211" s="13">
        <v>0</v>
      </c>
      <c r="M211" s="13">
        <v>0</v>
      </c>
      <c r="N211" s="13">
        <v>0</v>
      </c>
      <c r="O211" s="13">
        <v>0</v>
      </c>
      <c r="P211" s="13">
        <v>0</v>
      </c>
      <c r="Q211" s="13">
        <v>0</v>
      </c>
      <c r="R211" s="13">
        <v>0</v>
      </c>
      <c r="S211" s="95">
        <f>SUM(F211:R211)</f>
        <v>23843477</v>
      </c>
      <c r="T211" s="8">
        <v>208</v>
      </c>
    </row>
    <row r="212" spans="3:20" ht="15" x14ac:dyDescent="0.25">
      <c r="F212" s="13"/>
      <c r="G212" s="13"/>
      <c r="H212" s="13"/>
      <c r="I212" s="13"/>
      <c r="J212" s="13"/>
      <c r="K212" s="13"/>
      <c r="L212" s="13"/>
      <c r="M212" s="13"/>
      <c r="N212" s="13"/>
      <c r="O212" s="13"/>
      <c r="P212" s="13"/>
      <c r="Q212" s="13"/>
      <c r="R212" s="13"/>
      <c r="S212" s="95"/>
      <c r="T212" s="8">
        <v>209</v>
      </c>
    </row>
    <row r="213" spans="3:20" ht="15" x14ac:dyDescent="0.25">
      <c r="C213" s="123">
        <v>298</v>
      </c>
      <c r="D213" s="123"/>
      <c r="E213" s="123" t="s">
        <v>264</v>
      </c>
      <c r="F213" s="124">
        <f>F214</f>
        <v>0</v>
      </c>
      <c r="G213" s="124">
        <f t="shared" ref="G213:R213" si="52">G214</f>
        <v>0</v>
      </c>
      <c r="H213" s="124">
        <f t="shared" si="52"/>
        <v>0</v>
      </c>
      <c r="I213" s="124">
        <f t="shared" si="52"/>
        <v>0</v>
      </c>
      <c r="J213" s="124">
        <f t="shared" si="52"/>
        <v>0</v>
      </c>
      <c r="K213" s="124">
        <f t="shared" si="52"/>
        <v>0</v>
      </c>
      <c r="L213" s="124">
        <f t="shared" si="52"/>
        <v>0</v>
      </c>
      <c r="M213" s="124">
        <f t="shared" si="52"/>
        <v>0</v>
      </c>
      <c r="N213" s="124">
        <f t="shared" si="52"/>
        <v>0</v>
      </c>
      <c r="O213" s="124">
        <f t="shared" si="52"/>
        <v>0</v>
      </c>
      <c r="P213" s="124">
        <f t="shared" si="52"/>
        <v>0</v>
      </c>
      <c r="Q213" s="124">
        <f t="shared" si="52"/>
        <v>0</v>
      </c>
      <c r="R213" s="124">
        <f t="shared" si="52"/>
        <v>0</v>
      </c>
      <c r="S213" s="124">
        <f>SUM(F213:R213)</f>
        <v>0</v>
      </c>
      <c r="T213" s="8">
        <v>210</v>
      </c>
    </row>
    <row r="214" spans="3:20"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95">
        <f>SUM(F214:R214)</f>
        <v>0</v>
      </c>
      <c r="T214" s="8">
        <v>211</v>
      </c>
    </row>
    <row r="215" spans="3:20" ht="15" x14ac:dyDescent="0.25">
      <c r="F215" s="13"/>
      <c r="G215" s="13"/>
      <c r="H215" s="13"/>
      <c r="I215" s="13"/>
      <c r="J215" s="13"/>
      <c r="K215" s="13"/>
      <c r="L215" s="13"/>
      <c r="M215" s="13"/>
      <c r="N215" s="13"/>
      <c r="O215" s="13"/>
      <c r="P215" s="13"/>
      <c r="Q215" s="13"/>
      <c r="R215" s="13"/>
      <c r="S215" s="95"/>
      <c r="T215" s="8">
        <v>212</v>
      </c>
    </row>
    <row r="216" spans="3:20" ht="15" x14ac:dyDescent="0.25">
      <c r="C216" s="123">
        <v>299</v>
      </c>
      <c r="D216" s="123"/>
      <c r="E216" s="123" t="s">
        <v>438</v>
      </c>
      <c r="F216" s="124">
        <f>F217+F218</f>
        <v>7326859.5700000003</v>
      </c>
      <c r="G216" s="124">
        <f t="shared" ref="G216:R216" si="53">G217+G218</f>
        <v>650729.31999999995</v>
      </c>
      <c r="H216" s="124">
        <f t="shared" si="53"/>
        <v>769416.95000000007</v>
      </c>
      <c r="I216" s="124">
        <f t="shared" si="53"/>
        <v>855942.41999999993</v>
      </c>
      <c r="J216" s="124">
        <f t="shared" si="53"/>
        <v>1754844.12</v>
      </c>
      <c r="K216" s="124">
        <f t="shared" si="53"/>
        <v>3600552.69</v>
      </c>
      <c r="L216" s="124">
        <f t="shared" si="53"/>
        <v>952880.48</v>
      </c>
      <c r="M216" s="124">
        <f t="shared" si="53"/>
        <v>1354361.84</v>
      </c>
      <c r="N216" s="124">
        <f t="shared" si="53"/>
        <v>76873.119999999995</v>
      </c>
      <c r="O216" s="124">
        <f t="shared" si="53"/>
        <v>385962.57999999996</v>
      </c>
      <c r="P216" s="124">
        <f t="shared" si="53"/>
        <v>2409818.0100000002</v>
      </c>
      <c r="Q216" s="124">
        <f t="shared" si="53"/>
        <v>1265755.8</v>
      </c>
      <c r="R216" s="124">
        <f t="shared" si="53"/>
        <v>2126230.75</v>
      </c>
      <c r="S216" s="124">
        <f>SUM(F216:R216)</f>
        <v>23530227.650000002</v>
      </c>
      <c r="T216" s="8">
        <v>213</v>
      </c>
    </row>
    <row r="217" spans="3:20" ht="15" x14ac:dyDescent="0.25">
      <c r="D217" s="8">
        <v>2990</v>
      </c>
      <c r="E217" s="8" t="s">
        <v>438</v>
      </c>
      <c r="F217" s="13">
        <v>54258.46</v>
      </c>
      <c r="G217" s="13">
        <v>6007.73</v>
      </c>
      <c r="H217" s="13">
        <v>31556.67</v>
      </c>
      <c r="I217" s="13">
        <v>-5483.52</v>
      </c>
      <c r="J217" s="13">
        <v>-47328.88</v>
      </c>
      <c r="K217" s="13">
        <v>1575.32</v>
      </c>
      <c r="L217" s="13">
        <v>46976.62</v>
      </c>
      <c r="M217" s="13">
        <v>5910.6</v>
      </c>
      <c r="N217" s="13">
        <v>4411.07</v>
      </c>
      <c r="O217" s="13">
        <v>-21669.08</v>
      </c>
      <c r="P217" s="13">
        <v>-17871.05</v>
      </c>
      <c r="Q217" s="13">
        <v>-27873.5</v>
      </c>
      <c r="R217" s="13">
        <v>12482.21</v>
      </c>
      <c r="S217" s="95">
        <f>SUM(F217:R217)</f>
        <v>42952.65</v>
      </c>
      <c r="T217" s="8">
        <v>214</v>
      </c>
    </row>
    <row r="218" spans="3:20" ht="15" x14ac:dyDescent="0.25">
      <c r="D218" s="8">
        <v>2999</v>
      </c>
      <c r="E218" s="8" t="s">
        <v>815</v>
      </c>
      <c r="F218" s="13">
        <v>7272601.1100000003</v>
      </c>
      <c r="G218" s="13">
        <v>644721.59</v>
      </c>
      <c r="H218" s="13">
        <v>737860.28</v>
      </c>
      <c r="I218" s="13">
        <v>861425.94</v>
      </c>
      <c r="J218" s="13">
        <v>1802173</v>
      </c>
      <c r="K218" s="13">
        <v>3598977.37</v>
      </c>
      <c r="L218" s="13">
        <v>905903.86</v>
      </c>
      <c r="M218" s="13">
        <v>1348451.24</v>
      </c>
      <c r="N218" s="13">
        <v>72462.05</v>
      </c>
      <c r="O218" s="13">
        <v>407631.66</v>
      </c>
      <c r="P218" s="13">
        <v>2427689.06</v>
      </c>
      <c r="Q218" s="13">
        <v>1293629.3</v>
      </c>
      <c r="R218" s="13">
        <v>2113748.54</v>
      </c>
      <c r="S218" s="95">
        <f>SUM(F218:R218)</f>
        <v>23487274.999999996</v>
      </c>
      <c r="T218" s="8">
        <v>215</v>
      </c>
    </row>
    <row r="219" spans="3:20" ht="15" x14ac:dyDescent="0.25">
      <c r="F219" s="13"/>
      <c r="G219" s="13"/>
      <c r="H219" s="13"/>
      <c r="I219" s="126"/>
      <c r="J219" s="13"/>
      <c r="K219" s="13"/>
      <c r="L219" s="13"/>
      <c r="M219" s="13"/>
      <c r="N219" s="13"/>
      <c r="O219" s="13"/>
      <c r="P219" s="24"/>
      <c r="Q219" s="13"/>
      <c r="R219" s="13"/>
      <c r="S219" s="95"/>
      <c r="T219" s="8">
        <v>216</v>
      </c>
    </row>
    <row r="220" spans="3:20" ht="15" x14ac:dyDescent="0.25">
      <c r="C220" s="127"/>
      <c r="D220" s="127"/>
      <c r="E220" s="127" t="s">
        <v>574</v>
      </c>
      <c r="T220" s="8">
        <v>217</v>
      </c>
    </row>
    <row r="221" spans="3:20" x14ac:dyDescent="0.2">
      <c r="D221" s="8">
        <v>290</v>
      </c>
      <c r="E221" s="8" t="s">
        <v>573</v>
      </c>
      <c r="F221" s="13">
        <f>'Bourgeoisies Comptes 2023'!E156</f>
        <v>0</v>
      </c>
      <c r="G221" s="13">
        <f>'Bourgeoisies Comptes 2023'!F156</f>
        <v>0</v>
      </c>
      <c r="H221" s="13">
        <f>'Bourgeoisies Comptes 2023'!G156</f>
        <v>0</v>
      </c>
      <c r="I221" s="13">
        <f>'Bourgeoisies Comptes 2023'!H156</f>
        <v>0</v>
      </c>
      <c r="J221" s="13">
        <f>'Bourgeoisies Comptes 2023'!I156</f>
        <v>0</v>
      </c>
      <c r="K221" s="13">
        <f>'Bourgeoisies Comptes 2023'!J156</f>
        <v>0</v>
      </c>
      <c r="L221" s="13">
        <f>'Bourgeoisies Comptes 2023'!K156</f>
        <v>0</v>
      </c>
      <c r="M221" s="13">
        <f>'Bourgeoisies Comptes 2023'!L156</f>
        <v>0</v>
      </c>
      <c r="N221" s="13">
        <f>'Bourgeoisies Comptes 2023'!M156</f>
        <v>0</v>
      </c>
      <c r="O221" s="13">
        <f>'Bourgeoisies Comptes 2023'!N156</f>
        <v>0</v>
      </c>
      <c r="P221" s="13">
        <f>'Bourgeoisies Comptes 2023'!O156</f>
        <v>0</v>
      </c>
      <c r="Q221" s="13">
        <f>'Bourgeoisies Comptes 2023'!P156</f>
        <v>0</v>
      </c>
      <c r="R221" s="13">
        <f>'Bourgeoisies Comptes 2023'!Q156</f>
        <v>0</v>
      </c>
      <c r="S221" s="13">
        <f>'Bourgeoisies Comptes 2023'!R156</f>
        <v>0</v>
      </c>
      <c r="T221" s="8">
        <v>218</v>
      </c>
    </row>
    <row r="222" spans="3:20" x14ac:dyDescent="0.2">
      <c r="D222" s="8">
        <v>2990</v>
      </c>
      <c r="E222" s="8" t="s">
        <v>577</v>
      </c>
      <c r="F222" s="13">
        <f>F217</f>
        <v>54258.46</v>
      </c>
      <c r="G222" s="13">
        <f t="shared" ref="G222:S222" si="54">G217</f>
        <v>6007.73</v>
      </c>
      <c r="H222" s="13">
        <f t="shared" si="54"/>
        <v>31556.67</v>
      </c>
      <c r="I222" s="13">
        <f t="shared" si="54"/>
        <v>-5483.52</v>
      </c>
      <c r="J222" s="13">
        <f t="shared" si="54"/>
        <v>-47328.88</v>
      </c>
      <c r="K222" s="13">
        <f t="shared" si="54"/>
        <v>1575.32</v>
      </c>
      <c r="L222" s="13">
        <f t="shared" si="54"/>
        <v>46976.62</v>
      </c>
      <c r="M222" s="13">
        <f t="shared" si="54"/>
        <v>5910.6</v>
      </c>
      <c r="N222" s="13">
        <f t="shared" si="54"/>
        <v>4411.07</v>
      </c>
      <c r="O222" s="13">
        <f t="shared" si="54"/>
        <v>-21669.08</v>
      </c>
      <c r="P222" s="13">
        <f t="shared" si="54"/>
        <v>-17871.05</v>
      </c>
      <c r="Q222" s="13">
        <f t="shared" si="54"/>
        <v>-27873.5</v>
      </c>
      <c r="R222" s="13">
        <f t="shared" si="54"/>
        <v>12482.21</v>
      </c>
      <c r="S222" s="13">
        <f t="shared" si="54"/>
        <v>42952.65</v>
      </c>
      <c r="T222" s="8">
        <v>219</v>
      </c>
    </row>
    <row r="223" spans="3:20" x14ac:dyDescent="0.2">
      <c r="T223" s="8">
        <v>220</v>
      </c>
    </row>
    <row r="224" spans="3:20" ht="15" x14ac:dyDescent="0.25">
      <c r="E224" s="7" t="s">
        <v>576</v>
      </c>
      <c r="F224" s="84">
        <f>F221+F222</f>
        <v>54258.46</v>
      </c>
      <c r="G224" s="84">
        <f t="shared" ref="G224:S224" si="55">G221+G222</f>
        <v>6007.73</v>
      </c>
      <c r="H224" s="84">
        <f t="shared" si="55"/>
        <v>31556.67</v>
      </c>
      <c r="I224" s="84">
        <f t="shared" si="55"/>
        <v>-5483.52</v>
      </c>
      <c r="J224" s="84">
        <f t="shared" si="55"/>
        <v>-47328.88</v>
      </c>
      <c r="K224" s="84">
        <f t="shared" si="55"/>
        <v>1575.32</v>
      </c>
      <c r="L224" s="84">
        <f t="shared" si="55"/>
        <v>46976.62</v>
      </c>
      <c r="M224" s="84">
        <f t="shared" si="55"/>
        <v>5910.6</v>
      </c>
      <c r="N224" s="84">
        <f t="shared" si="55"/>
        <v>4411.07</v>
      </c>
      <c r="O224" s="84">
        <f t="shared" si="55"/>
        <v>-21669.08</v>
      </c>
      <c r="P224" s="84">
        <f t="shared" si="55"/>
        <v>-17871.05</v>
      </c>
      <c r="Q224" s="84">
        <f t="shared" si="55"/>
        <v>-27873.5</v>
      </c>
      <c r="R224" s="84">
        <f t="shared" si="55"/>
        <v>12482.21</v>
      </c>
      <c r="S224" s="84">
        <f t="shared" si="55"/>
        <v>42952.65</v>
      </c>
      <c r="T224" s="8">
        <v>221</v>
      </c>
    </row>
    <row r="225" spans="5:20" x14ac:dyDescent="0.2">
      <c r="N225" s="13"/>
      <c r="S225" s="13"/>
      <c r="T225" s="8">
        <v>222</v>
      </c>
    </row>
    <row r="226" spans="5:20" x14ac:dyDescent="0.2">
      <c r="E226" s="86" t="s">
        <v>575</v>
      </c>
      <c r="F226" s="24">
        <f>F5-F121</f>
        <v>0</v>
      </c>
      <c r="G226" s="24">
        <f t="shared" ref="G226:S226" si="56">G5-G121</f>
        <v>0</v>
      </c>
      <c r="H226" s="24">
        <f t="shared" si="56"/>
        <v>0</v>
      </c>
      <c r="I226" s="24">
        <f t="shared" si="56"/>
        <v>0</v>
      </c>
      <c r="J226" s="24">
        <f t="shared" si="56"/>
        <v>0</v>
      </c>
      <c r="K226" s="24">
        <f t="shared" si="56"/>
        <v>0</v>
      </c>
      <c r="L226" s="24">
        <f t="shared" si="56"/>
        <v>0</v>
      </c>
      <c r="M226" s="24">
        <f t="shared" si="56"/>
        <v>0</v>
      </c>
      <c r="N226" s="24">
        <f t="shared" si="56"/>
        <v>0</v>
      </c>
      <c r="O226" s="24">
        <f t="shared" si="56"/>
        <v>0</v>
      </c>
      <c r="P226" s="24">
        <f t="shared" si="56"/>
        <v>0</v>
      </c>
      <c r="Q226" s="24">
        <f t="shared" si="56"/>
        <v>0</v>
      </c>
      <c r="R226" s="24">
        <f t="shared" si="56"/>
        <v>0</v>
      </c>
      <c r="S226" s="24">
        <f t="shared" si="56"/>
        <v>0</v>
      </c>
      <c r="T226" s="8">
        <v>223</v>
      </c>
    </row>
    <row r="229" spans="5:20" x14ac:dyDescent="0.2">
      <c r="E229" s="8" t="s">
        <v>882</v>
      </c>
      <c r="F229" s="13">
        <f>F216</f>
        <v>7326859.5700000003</v>
      </c>
      <c r="G229" s="13">
        <f t="shared" ref="G229:S229" si="57">G216</f>
        <v>650729.31999999995</v>
      </c>
      <c r="H229" s="13">
        <f t="shared" si="57"/>
        <v>769416.95000000007</v>
      </c>
      <c r="I229" s="13">
        <f t="shared" si="57"/>
        <v>855942.41999999993</v>
      </c>
      <c r="J229" s="13">
        <f t="shared" si="57"/>
        <v>1754844.12</v>
      </c>
      <c r="K229" s="13">
        <f t="shared" si="57"/>
        <v>3600552.69</v>
      </c>
      <c r="L229" s="13">
        <f t="shared" si="57"/>
        <v>952880.48</v>
      </c>
      <c r="M229" s="13">
        <f t="shared" si="57"/>
        <v>1354361.84</v>
      </c>
      <c r="N229" s="13">
        <f t="shared" si="57"/>
        <v>76873.119999999995</v>
      </c>
      <c r="O229" s="13">
        <f t="shared" si="57"/>
        <v>385962.57999999996</v>
      </c>
      <c r="P229" s="13">
        <f t="shared" si="57"/>
        <v>2409818.0100000002</v>
      </c>
      <c r="Q229" s="13">
        <f t="shared" si="57"/>
        <v>1265755.8</v>
      </c>
      <c r="R229" s="13">
        <f t="shared" si="57"/>
        <v>2126230.75</v>
      </c>
      <c r="S229" s="13">
        <f t="shared" si="57"/>
        <v>23530227.650000002</v>
      </c>
    </row>
    <row r="230" spans="5:20" x14ac:dyDescent="0.2">
      <c r="E230" s="8" t="s">
        <v>883</v>
      </c>
      <c r="F230" s="13">
        <f>F192</f>
        <v>338123.14</v>
      </c>
      <c r="G230" s="13">
        <f t="shared" ref="G230:S230" si="58">G192</f>
        <v>37619.440000000002</v>
      </c>
      <c r="H230" s="13">
        <f t="shared" si="58"/>
        <v>45413.5</v>
      </c>
      <c r="I230" s="13">
        <f t="shared" si="58"/>
        <v>14449.29</v>
      </c>
      <c r="J230" s="13">
        <f t="shared" si="58"/>
        <v>431607.54</v>
      </c>
      <c r="K230" s="13">
        <f t="shared" si="58"/>
        <v>3065881.18</v>
      </c>
      <c r="L230" s="13">
        <f t="shared" si="58"/>
        <v>54798.85</v>
      </c>
      <c r="M230" s="13">
        <f t="shared" si="58"/>
        <v>397098.98</v>
      </c>
      <c r="N230" s="13">
        <f t="shared" si="58"/>
        <v>20054.47</v>
      </c>
      <c r="O230" s="13">
        <f t="shared" si="58"/>
        <v>108625.13</v>
      </c>
      <c r="P230" s="13">
        <f t="shared" si="58"/>
        <v>86653.33</v>
      </c>
      <c r="Q230" s="13">
        <f t="shared" si="58"/>
        <v>168142.25</v>
      </c>
      <c r="R230" s="13">
        <f t="shared" si="58"/>
        <v>366169.43</v>
      </c>
      <c r="S230" s="13">
        <f t="shared" si="58"/>
        <v>5134636.5299999993</v>
      </c>
    </row>
    <row r="231" spans="5:20" x14ac:dyDescent="0.2">
      <c r="E231" s="8" t="s">
        <v>64</v>
      </c>
      <c r="F231" s="13">
        <f>F229+F230</f>
        <v>7664982.71</v>
      </c>
      <c r="G231" s="13">
        <f t="shared" ref="G231:S231" si="59">G229+G230</f>
        <v>688348.76</v>
      </c>
      <c r="H231" s="13">
        <f t="shared" si="59"/>
        <v>814830.45000000007</v>
      </c>
      <c r="I231" s="13">
        <f t="shared" si="59"/>
        <v>870391.71</v>
      </c>
      <c r="J231" s="13">
        <f t="shared" si="59"/>
        <v>2186451.66</v>
      </c>
      <c r="K231" s="13">
        <f t="shared" si="59"/>
        <v>6666433.8700000001</v>
      </c>
      <c r="L231" s="13">
        <f t="shared" si="59"/>
        <v>1007679.33</v>
      </c>
      <c r="M231" s="13">
        <f t="shared" si="59"/>
        <v>1751460.82</v>
      </c>
      <c r="N231" s="13">
        <f t="shared" si="59"/>
        <v>96927.59</v>
      </c>
      <c r="O231" s="13">
        <f t="shared" si="59"/>
        <v>494587.70999999996</v>
      </c>
      <c r="P231" s="13">
        <f t="shared" si="59"/>
        <v>2496471.3400000003</v>
      </c>
      <c r="Q231" s="13">
        <f t="shared" si="59"/>
        <v>1433898.05</v>
      </c>
      <c r="R231" s="13">
        <f t="shared" si="59"/>
        <v>2492400.1800000002</v>
      </c>
      <c r="S231" s="13">
        <f t="shared" si="59"/>
        <v>28664864.18</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topLeftCell="A199"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873</v>
      </c>
      <c r="B2" s="7"/>
      <c r="C2" s="7"/>
      <c r="D2" s="7"/>
      <c r="E2" s="16"/>
    </row>
    <row r="4" spans="1:6" ht="15" thickBot="1" x14ac:dyDescent="0.25">
      <c r="E4" s="86" t="s">
        <v>736</v>
      </c>
    </row>
    <row r="5" spans="1:6" ht="15.75" thickBot="1" x14ac:dyDescent="0.3">
      <c r="A5" s="8" t="s">
        <v>727</v>
      </c>
      <c r="E5" s="92" t="s">
        <v>64</v>
      </c>
    </row>
    <row r="8" spans="1:6" ht="20.25" x14ac:dyDescent="0.3">
      <c r="A8" s="114">
        <v>1</v>
      </c>
      <c r="B8" s="114"/>
      <c r="C8" s="114"/>
      <c r="D8" s="114"/>
      <c r="E8" s="114" t="s">
        <v>235</v>
      </c>
      <c r="F8" s="128">
        <f>HLOOKUP($E$5,'Bourgeoisie bilan'!$F$4:$S$229,2,0)</f>
        <v>62241655.060000002</v>
      </c>
    </row>
    <row r="9" spans="1:6" ht="15" x14ac:dyDescent="0.25">
      <c r="A9" s="16"/>
      <c r="B9" s="116">
        <v>10</v>
      </c>
      <c r="C9" s="116"/>
      <c r="D9" s="116"/>
      <c r="E9" s="116" t="s">
        <v>236</v>
      </c>
      <c r="F9" s="117">
        <f>HLOOKUP($E$5,'Bourgeoisie bilan'!$F$4:$S$229,2,0)</f>
        <v>62241655.060000002</v>
      </c>
    </row>
    <row r="10" spans="1:6" ht="15" x14ac:dyDescent="0.25">
      <c r="A10" s="17"/>
      <c r="B10" s="17"/>
      <c r="C10" s="85">
        <v>100</v>
      </c>
      <c r="D10" s="85"/>
      <c r="E10" s="85" t="s">
        <v>237</v>
      </c>
      <c r="F10" s="107">
        <f>HLOOKUP($E$5,'Bourgeoisie bilan'!$F$4:$S$229,2,0)</f>
        <v>62241655.060000002</v>
      </c>
    </row>
    <row r="11" spans="1:6" x14ac:dyDescent="0.2">
      <c r="D11" s="8">
        <v>1000</v>
      </c>
      <c r="E11" s="8" t="s">
        <v>307</v>
      </c>
      <c r="F11" s="13">
        <f>HLOOKUP($E$5,'Bourgeoisie bilan'!$F$4:$S$229,5,0)</f>
        <v>10083.52</v>
      </c>
    </row>
    <row r="12" spans="1:6" x14ac:dyDescent="0.2">
      <c r="D12" s="8">
        <v>1001</v>
      </c>
      <c r="E12" s="8" t="s">
        <v>308</v>
      </c>
      <c r="F12" s="13">
        <f>HLOOKUP($E$5,'Bourgeoisie bilan'!$F$4:$S$229,6,0)</f>
        <v>478157.7</v>
      </c>
    </row>
    <row r="13" spans="1:6" x14ac:dyDescent="0.2">
      <c r="D13" s="8">
        <v>1002</v>
      </c>
      <c r="E13" s="8" t="s">
        <v>316</v>
      </c>
      <c r="F13" s="13">
        <f>HLOOKUP($E$5,'Bourgeoisie bilan'!$F$4:$S$229,7,0)</f>
        <v>5497149.4699999997</v>
      </c>
    </row>
    <row r="14" spans="1:6" x14ac:dyDescent="0.2">
      <c r="D14" s="8">
        <v>1003</v>
      </c>
      <c r="E14" s="8" t="s">
        <v>309</v>
      </c>
      <c r="F14" s="13">
        <f>HLOOKUP($E$5,'Bourgeoisie bilan'!$F$4:$S$229,8,0)</f>
        <v>76043.13</v>
      </c>
    </row>
    <row r="15" spans="1:6" x14ac:dyDescent="0.2">
      <c r="D15" s="8">
        <v>1004</v>
      </c>
      <c r="E15" s="8" t="s">
        <v>310</v>
      </c>
      <c r="F15" s="13">
        <f>HLOOKUP($E$5,'Bourgeoisie bilan'!$F$4:$S$229,9,0)</f>
        <v>4199.55</v>
      </c>
    </row>
    <row r="16" spans="1:6" x14ac:dyDescent="0.2">
      <c r="D16" s="8">
        <v>1009</v>
      </c>
      <c r="E16" s="8" t="s">
        <v>311</v>
      </c>
      <c r="F16" s="13">
        <f>HLOOKUP($E$5,'Bourgeoisie bilan'!$F$4:$S$229,10,0)</f>
        <v>9109.0400000000009</v>
      </c>
    </row>
    <row r="17" spans="1:6" x14ac:dyDescent="0.2">
      <c r="F17" s="13"/>
    </row>
    <row r="18" spans="1:6" ht="15" x14ac:dyDescent="0.25">
      <c r="A18" s="17"/>
      <c r="B18" s="17"/>
      <c r="C18" s="85">
        <v>101</v>
      </c>
      <c r="D18" s="85"/>
      <c r="E18" s="85" t="s">
        <v>238</v>
      </c>
      <c r="F18" s="107">
        <f>HLOOKUP($E$5,'Bourgeoisie bilan'!$F$4:$S$229,12,0)</f>
        <v>4371335.4400000004</v>
      </c>
    </row>
    <row r="19" spans="1:6" x14ac:dyDescent="0.2">
      <c r="D19" s="8">
        <v>1010</v>
      </c>
      <c r="E19" s="8" t="s">
        <v>312</v>
      </c>
      <c r="F19" s="13">
        <f>HLOOKUP($E$5,'Bourgeoisie bilan'!$F$4:$S$229,13,0)</f>
        <v>123042.44</v>
      </c>
    </row>
    <row r="20" spans="1:6" x14ac:dyDescent="0.2">
      <c r="D20" s="8">
        <v>1011</v>
      </c>
      <c r="E20" s="8" t="s">
        <v>393</v>
      </c>
      <c r="F20" s="13">
        <f>HLOOKUP($E$5,'Bourgeoisie bilan'!$F$4:$S$229,14,0)</f>
        <v>4247363</v>
      </c>
    </row>
    <row r="21" spans="1:6" x14ac:dyDescent="0.2">
      <c r="D21" s="8">
        <v>1012</v>
      </c>
      <c r="E21" s="8" t="s">
        <v>313</v>
      </c>
      <c r="F21" s="13">
        <f>HLOOKUP($E$5,'Bourgeoisie bilan'!$F$4:$S$229,15,0)</f>
        <v>0</v>
      </c>
    </row>
    <row r="22" spans="1:6" x14ac:dyDescent="0.2">
      <c r="D22" s="8">
        <v>1013</v>
      </c>
      <c r="E22" s="8" t="s">
        <v>314</v>
      </c>
      <c r="F22" s="13">
        <f>HLOOKUP($E$5,'Bourgeoisie bilan'!$F$4:$S$229,16,0)</f>
        <v>0</v>
      </c>
    </row>
    <row r="23" spans="1:6" x14ac:dyDescent="0.2">
      <c r="D23" s="8">
        <v>1014</v>
      </c>
      <c r="E23" s="8" t="s">
        <v>315</v>
      </c>
      <c r="F23" s="13">
        <f>HLOOKUP($E$5,'Bourgeoisie bilan'!$F$4:$S$229,17,0)</f>
        <v>0</v>
      </c>
    </row>
    <row r="24" spans="1:6" x14ac:dyDescent="0.2">
      <c r="D24" s="8">
        <v>1015</v>
      </c>
      <c r="E24" s="8" t="s">
        <v>317</v>
      </c>
      <c r="F24" s="13">
        <f>HLOOKUP($E$5,'Bourgeoisie bilan'!$F$4:$S$229,18,0)</f>
        <v>0</v>
      </c>
    </row>
    <row r="25" spans="1:6" x14ac:dyDescent="0.2">
      <c r="D25" s="8">
        <v>1016</v>
      </c>
      <c r="E25" s="8" t="s">
        <v>318</v>
      </c>
      <c r="F25" s="13">
        <f>HLOOKUP($E$5,'Bourgeoisie bilan'!$F$4:$S$229,19,0)</f>
        <v>0</v>
      </c>
    </row>
    <row r="26" spans="1:6" x14ac:dyDescent="0.2">
      <c r="D26" s="8">
        <v>1019</v>
      </c>
      <c r="E26" s="8" t="s">
        <v>319</v>
      </c>
      <c r="F26" s="13">
        <f>HLOOKUP($E$5,'Bourgeoisie bilan'!$F$4:$S$229,20,0)</f>
        <v>930</v>
      </c>
    </row>
    <row r="27" spans="1:6" x14ac:dyDescent="0.2">
      <c r="F27" s="13"/>
    </row>
    <row r="28" spans="1:6" ht="15" x14ac:dyDescent="0.25">
      <c r="C28" s="85">
        <v>102</v>
      </c>
      <c r="D28" s="85"/>
      <c r="E28" s="85" t="s">
        <v>239</v>
      </c>
      <c r="F28" s="107">
        <f>HLOOKUP($E$5,'Bourgeoisie bilan'!$F$4:$S$229,22,0)</f>
        <v>190000</v>
      </c>
    </row>
    <row r="29" spans="1:6" x14ac:dyDescent="0.2">
      <c r="D29" s="8">
        <v>1020</v>
      </c>
      <c r="E29" s="8" t="s">
        <v>320</v>
      </c>
      <c r="F29" s="13">
        <f>HLOOKUP($E$5,'Bourgeoisie bilan'!$F$4:$S$229,23,0)</f>
        <v>190000</v>
      </c>
    </row>
    <row r="30" spans="1:6" x14ac:dyDescent="0.2">
      <c r="D30" s="8">
        <v>1022</v>
      </c>
      <c r="E30" s="8" t="s">
        <v>321</v>
      </c>
      <c r="F30" s="13">
        <f>HLOOKUP($E$5,'Bourgeoisie bilan'!$F$4:$S$229,24,0)</f>
        <v>0</v>
      </c>
    </row>
    <row r="31" spans="1:6" x14ac:dyDescent="0.2">
      <c r="D31" s="8">
        <v>1023</v>
      </c>
      <c r="E31" s="8" t="s">
        <v>322</v>
      </c>
      <c r="F31" s="13">
        <f>HLOOKUP($E$5,'Bourgeoisie bilan'!$F$4:$S$229,25,0)</f>
        <v>0</v>
      </c>
    </row>
    <row r="32" spans="1:6" x14ac:dyDescent="0.2">
      <c r="D32" s="8">
        <v>1029</v>
      </c>
      <c r="E32" s="8" t="s">
        <v>323</v>
      </c>
      <c r="F32" s="13">
        <f>HLOOKUP($E$5,'Bourgeoisie bilan'!$F$4:$S$229,26,0)</f>
        <v>0</v>
      </c>
    </row>
    <row r="33" spans="3:6" x14ac:dyDescent="0.2">
      <c r="F33" s="13"/>
    </row>
    <row r="34" spans="3:6" ht="15" x14ac:dyDescent="0.25">
      <c r="C34" s="85">
        <v>104</v>
      </c>
      <c r="D34" s="85"/>
      <c r="E34" s="85" t="s">
        <v>240</v>
      </c>
      <c r="F34" s="107">
        <f>HLOOKUP($E$5,'Bourgeoisie bilan'!$F$4:$S$229,28,0)</f>
        <v>206151.23</v>
      </c>
    </row>
    <row r="35" spans="3:6" x14ac:dyDescent="0.2">
      <c r="D35" s="8">
        <v>1040</v>
      </c>
      <c r="E35" s="8" t="s">
        <v>60</v>
      </c>
      <c r="F35" s="13">
        <f>HLOOKUP($E$5,'Bourgeoisie bilan'!$F$4:$S$229,29,0)</f>
        <v>11.95</v>
      </c>
    </row>
    <row r="36" spans="3:6" x14ac:dyDescent="0.2">
      <c r="D36" s="8">
        <v>1041</v>
      </c>
      <c r="E36" s="8" t="s">
        <v>324</v>
      </c>
      <c r="F36" s="13">
        <f>HLOOKUP($E$5,'Bourgeoisie bilan'!$F$4:$S$229,30,0)</f>
        <v>108431.40000000001</v>
      </c>
    </row>
    <row r="37" spans="3:6" x14ac:dyDescent="0.2">
      <c r="D37" s="8">
        <v>1042</v>
      </c>
      <c r="E37" s="8" t="s">
        <v>325</v>
      </c>
      <c r="F37" s="13">
        <f>HLOOKUP($E$5,'Bourgeoisie bilan'!$F$4:$S$229,31,0)</f>
        <v>0</v>
      </c>
    </row>
    <row r="38" spans="3:6" x14ac:dyDescent="0.2">
      <c r="D38" s="8">
        <v>1043</v>
      </c>
      <c r="E38" s="8" t="s">
        <v>326</v>
      </c>
      <c r="F38" s="13">
        <f>HLOOKUP($E$5,'Bourgeoisie bilan'!$F$4:$S$229,32,0)</f>
        <v>28045.1</v>
      </c>
    </row>
    <row r="39" spans="3:6" x14ac:dyDescent="0.2">
      <c r="D39" s="8">
        <v>1044</v>
      </c>
      <c r="E39" s="8" t="s">
        <v>327</v>
      </c>
      <c r="F39" s="13">
        <f>HLOOKUP($E$5,'Bourgeoisie bilan'!$F$4:$S$229,33,0)</f>
        <v>45634.28</v>
      </c>
    </row>
    <row r="40" spans="3:6" x14ac:dyDescent="0.2">
      <c r="D40" s="8">
        <v>1045</v>
      </c>
      <c r="E40" s="8" t="s">
        <v>328</v>
      </c>
      <c r="F40" s="13">
        <f>HLOOKUP($E$5,'Bourgeoisie bilan'!$F$4:$S$229,34,0)</f>
        <v>17018.7</v>
      </c>
    </row>
    <row r="41" spans="3:6" x14ac:dyDescent="0.2">
      <c r="D41" s="8">
        <v>1046</v>
      </c>
      <c r="E41" s="8" t="s">
        <v>329</v>
      </c>
      <c r="F41" s="13">
        <f>HLOOKUP($E$5,'Bourgeoisie bilan'!$F$4:$S$229,35,0)</f>
        <v>0</v>
      </c>
    </row>
    <row r="42" spans="3:6" x14ac:dyDescent="0.2">
      <c r="D42" s="8">
        <v>1049</v>
      </c>
      <c r="E42" s="8" t="s">
        <v>330</v>
      </c>
      <c r="F42" s="13">
        <f>HLOOKUP($E$5,'Bourgeoisie bilan'!$F$4:$S$229,36,0)</f>
        <v>7009.8</v>
      </c>
    </row>
    <row r="43" spans="3:6" x14ac:dyDescent="0.2">
      <c r="F43" s="13"/>
    </row>
    <row r="44" spans="3:6" ht="15" x14ac:dyDescent="0.25">
      <c r="C44" s="85">
        <v>106</v>
      </c>
      <c r="D44" s="85"/>
      <c r="E44" s="85" t="s">
        <v>241</v>
      </c>
      <c r="F44" s="107">
        <f>HLOOKUP($E$5,'Bourgeoisie bilan'!$F$4:$S$229,38,0)</f>
        <v>69486.3</v>
      </c>
    </row>
    <row r="45" spans="3:6" x14ac:dyDescent="0.2">
      <c r="D45" s="8">
        <v>1060</v>
      </c>
      <c r="E45" s="8" t="s">
        <v>331</v>
      </c>
      <c r="F45" s="13">
        <f>HLOOKUP($E$5,'Bourgeoisie bilan'!$F$4:$S$229,39,0)</f>
        <v>69486.3</v>
      </c>
    </row>
    <row r="46" spans="3:6" x14ac:dyDescent="0.2">
      <c r="D46" s="8">
        <v>1061</v>
      </c>
      <c r="E46" s="8" t="s">
        <v>332</v>
      </c>
      <c r="F46" s="13">
        <f>HLOOKUP($E$5,'Bourgeoisie bilan'!$F$4:$S$229,40,0)</f>
        <v>0</v>
      </c>
    </row>
    <row r="47" spans="3:6" x14ac:dyDescent="0.2">
      <c r="D47" s="8">
        <v>1062</v>
      </c>
      <c r="E47" s="8" t="s">
        <v>333</v>
      </c>
      <c r="F47" s="13">
        <f>HLOOKUP($E$5,'Bourgeoisie bilan'!$F$4:$S$229,41,0)</f>
        <v>0</v>
      </c>
    </row>
    <row r="48" spans="3:6" x14ac:dyDescent="0.2">
      <c r="D48" s="8">
        <v>1063</v>
      </c>
      <c r="E48" s="8" t="s">
        <v>334</v>
      </c>
      <c r="F48" s="13">
        <f>HLOOKUP($E$5,'Bourgeoisie bilan'!$F$4:$S$229,42,0)</f>
        <v>0</v>
      </c>
    </row>
    <row r="49" spans="3:6" x14ac:dyDescent="0.2">
      <c r="D49" s="8">
        <v>1068</v>
      </c>
      <c r="E49" s="8" t="s">
        <v>335</v>
      </c>
      <c r="F49" s="13">
        <f>HLOOKUP($E$5,'Bourgeoisie bilan'!$F$4:$S$229,43,0)</f>
        <v>0</v>
      </c>
    </row>
    <row r="50" spans="3:6" x14ac:dyDescent="0.2">
      <c r="F50" s="13"/>
    </row>
    <row r="51" spans="3:6" ht="15" x14ac:dyDescent="0.25">
      <c r="C51" s="85">
        <v>107</v>
      </c>
      <c r="D51" s="85"/>
      <c r="E51" s="85" t="s">
        <v>340</v>
      </c>
      <c r="F51" s="107">
        <f>HLOOKUP($E$5,'Bourgeoisie bilan'!$F$4:$S$229,45,0)</f>
        <v>431148.83</v>
      </c>
    </row>
    <row r="52" spans="3:6" x14ac:dyDescent="0.2">
      <c r="D52" s="8">
        <v>1070</v>
      </c>
      <c r="E52" s="8" t="s">
        <v>336</v>
      </c>
      <c r="F52" s="13">
        <f>HLOOKUP($E$5,'Bourgeoisie bilan'!$F$4:$S$229,46,0)</f>
        <v>64779.4</v>
      </c>
    </row>
    <row r="53" spans="3:6" x14ac:dyDescent="0.2">
      <c r="D53" s="8">
        <v>1071</v>
      </c>
      <c r="E53" s="8" t="s">
        <v>337</v>
      </c>
      <c r="F53" s="13">
        <f>HLOOKUP($E$5,'Bourgeoisie bilan'!$F$4:$S$229,47,0)</f>
        <v>366369.43</v>
      </c>
    </row>
    <row r="54" spans="3:6" x14ac:dyDescent="0.2">
      <c r="D54" s="8">
        <v>1072</v>
      </c>
      <c r="E54" s="8" t="s">
        <v>338</v>
      </c>
      <c r="F54" s="13">
        <f>HLOOKUP($E$5,'Bourgeoisie bilan'!$F$4:$S$229,48,0)</f>
        <v>0</v>
      </c>
    </row>
    <row r="55" spans="3:6" x14ac:dyDescent="0.2">
      <c r="D55" s="8">
        <v>1079</v>
      </c>
      <c r="E55" s="8" t="s">
        <v>339</v>
      </c>
      <c r="F55" s="13">
        <f>HLOOKUP($E$5,'Bourgeoisie bilan'!$F$4:$S$229,49,0)</f>
        <v>0</v>
      </c>
    </row>
    <row r="56" spans="3:6" x14ac:dyDescent="0.2">
      <c r="F56" s="13"/>
    </row>
    <row r="57" spans="3:6" ht="15" x14ac:dyDescent="0.25">
      <c r="C57" s="85">
        <v>108</v>
      </c>
      <c r="D57" s="85"/>
      <c r="E57" s="85" t="s">
        <v>242</v>
      </c>
      <c r="F57" s="107">
        <f>HLOOKUP($E$5,'Bourgeoisie bilan'!$F$4:$S$229,51,0)</f>
        <v>37161798.549999997</v>
      </c>
    </row>
    <row r="58" spans="3:6" x14ac:dyDescent="0.2">
      <c r="D58" s="8">
        <v>1080</v>
      </c>
      <c r="E58" s="8" t="s">
        <v>341</v>
      </c>
      <c r="F58" s="13">
        <f>HLOOKUP($E$5,'Bourgeoisie bilan'!$F$4:$S$229,52,0)</f>
        <v>23481138.050000001</v>
      </c>
    </row>
    <row r="59" spans="3:6" x14ac:dyDescent="0.2">
      <c r="D59" s="8">
        <v>1084</v>
      </c>
      <c r="E59" s="8" t="s">
        <v>342</v>
      </c>
      <c r="F59" s="13">
        <f>HLOOKUP($E$5,'Bourgeoisie bilan'!$F$4:$S$229,53,0)</f>
        <v>13574148.499999998</v>
      </c>
    </row>
    <row r="60" spans="3:6" x14ac:dyDescent="0.2">
      <c r="D60" s="8">
        <v>1086</v>
      </c>
      <c r="E60" s="8" t="s">
        <v>343</v>
      </c>
      <c r="F60" s="13">
        <f>HLOOKUP($E$5,'Bourgeoisie bilan'!$F$4:$S$229,54,0)</f>
        <v>0</v>
      </c>
    </row>
    <row r="61" spans="3:6" x14ac:dyDescent="0.2">
      <c r="D61" s="8">
        <v>1087</v>
      </c>
      <c r="E61" s="8" t="s">
        <v>344</v>
      </c>
      <c r="F61" s="13">
        <f>HLOOKUP($E$5,'Bourgeoisie bilan'!$F$4:$S$229,55,0)</f>
        <v>0</v>
      </c>
    </row>
    <row r="62" spans="3:6" x14ac:dyDescent="0.2">
      <c r="D62" s="8">
        <v>1088</v>
      </c>
      <c r="E62" s="8" t="s">
        <v>345</v>
      </c>
      <c r="F62" s="13">
        <f>HLOOKUP($E$5,'Bourgeoisie bilan'!$F$4:$S$229,56,0)</f>
        <v>2200</v>
      </c>
    </row>
    <row r="63" spans="3:6" x14ac:dyDescent="0.2">
      <c r="D63" s="8">
        <v>1089</v>
      </c>
      <c r="E63" s="8" t="s">
        <v>346</v>
      </c>
      <c r="F63" s="13">
        <f>HLOOKUP($E$5,'Bourgeoisie bilan'!$F$4:$S$229,57,0)</f>
        <v>104312</v>
      </c>
    </row>
    <row r="64" spans="3:6" x14ac:dyDescent="0.2">
      <c r="F64" s="13"/>
    </row>
    <row r="65" spans="2:6" ht="15" x14ac:dyDescent="0.25">
      <c r="C65" s="85">
        <v>109</v>
      </c>
      <c r="D65" s="85"/>
      <c r="E65" s="85" t="s">
        <v>347</v>
      </c>
      <c r="F65" s="107">
        <f>HLOOKUP($E$5,'Bourgeoisie bilan'!$F$4:$S$229,59,0)</f>
        <v>55041.05</v>
      </c>
    </row>
    <row r="66" spans="2:6" x14ac:dyDescent="0.2">
      <c r="D66" s="8">
        <v>1090</v>
      </c>
      <c r="E66" s="8" t="s">
        <v>347</v>
      </c>
      <c r="F66" s="13">
        <f>HLOOKUP($E$5,'Bourgeoisie bilan'!$F$4:$S$229,60,0)</f>
        <v>55041.05</v>
      </c>
    </row>
    <row r="67" spans="2:6" x14ac:dyDescent="0.2">
      <c r="D67" s="8">
        <v>1091</v>
      </c>
      <c r="E67" s="8" t="s">
        <v>348</v>
      </c>
      <c r="F67" s="13">
        <f>HLOOKUP($E$5,'Bourgeoisie bilan'!$F$4:$S$229,61,0)</f>
        <v>0</v>
      </c>
    </row>
    <row r="68" spans="2:6" x14ac:dyDescent="0.2">
      <c r="D68" s="8">
        <v>1092</v>
      </c>
      <c r="E68" s="8" t="s">
        <v>349</v>
      </c>
      <c r="F68" s="13">
        <f>HLOOKUP($E$5,'Bourgeoisie bilan'!$F$4:$S$229,62,0)</f>
        <v>0</v>
      </c>
    </row>
    <row r="69" spans="2:6" x14ac:dyDescent="0.2">
      <c r="D69" s="8">
        <v>1093</v>
      </c>
      <c r="E69" s="8" t="s">
        <v>350</v>
      </c>
      <c r="F69" s="13">
        <f>HLOOKUP($E$5,'Bourgeoisie bilan'!$F$4:$S$229,63,0)</f>
        <v>0</v>
      </c>
    </row>
    <row r="70" spans="2:6" x14ac:dyDescent="0.2">
      <c r="F70" s="13"/>
    </row>
    <row r="71" spans="2:6" ht="15" x14ac:dyDescent="0.25">
      <c r="B71" s="118">
        <v>14</v>
      </c>
      <c r="C71" s="118"/>
      <c r="D71" s="118"/>
      <c r="E71" s="118" t="s">
        <v>243</v>
      </c>
      <c r="F71" s="119">
        <f>HLOOKUP($E$5,'Bourgeoisie bilan'!$F$4:$S$229,65,0)</f>
        <v>13681951.250000002</v>
      </c>
    </row>
    <row r="72" spans="2:6" ht="15" x14ac:dyDescent="0.25">
      <c r="C72" s="85">
        <v>140</v>
      </c>
      <c r="D72" s="85"/>
      <c r="E72" s="85" t="s">
        <v>245</v>
      </c>
      <c r="F72" s="107">
        <f>HLOOKUP($E$5,'Bourgeoisie bilan'!$F$4:$S$229,66,0)</f>
        <v>13557146.250000002</v>
      </c>
    </row>
    <row r="73" spans="2:6" x14ac:dyDescent="0.2">
      <c r="D73" s="8">
        <v>1400</v>
      </c>
      <c r="E73" s="8" t="s">
        <v>351</v>
      </c>
      <c r="F73" s="13">
        <f>HLOOKUP($E$5,'Bourgeoisie bilan'!$F$4:$S$229,67,0)</f>
        <v>3123904.5999999996</v>
      </c>
    </row>
    <row r="74" spans="2:6" x14ac:dyDescent="0.2">
      <c r="D74" s="8">
        <v>1401</v>
      </c>
      <c r="E74" s="8" t="s">
        <v>352</v>
      </c>
      <c r="F74" s="13">
        <f>HLOOKUP($E$5,'Bourgeoisie bilan'!$F$4:$S$229,68,0)</f>
        <v>279250.7</v>
      </c>
    </row>
    <row r="75" spans="2:6" x14ac:dyDescent="0.2">
      <c r="D75" s="8">
        <v>1402</v>
      </c>
      <c r="E75" s="8" t="s">
        <v>353</v>
      </c>
      <c r="F75" s="13">
        <f>HLOOKUP($E$5,'Bourgeoisie bilan'!$F$4:$S$229,69,0)</f>
        <v>85002</v>
      </c>
    </row>
    <row r="76" spans="2:6" x14ac:dyDescent="0.2">
      <c r="D76" s="8">
        <v>1403</v>
      </c>
      <c r="E76" s="8" t="s">
        <v>354</v>
      </c>
      <c r="F76" s="13">
        <f>HLOOKUP($E$5,'Bourgeoisie bilan'!$F$4:$S$229,70,0)</f>
        <v>34304.5</v>
      </c>
    </row>
    <row r="77" spans="2:6" x14ac:dyDescent="0.2">
      <c r="D77" s="8">
        <v>1404</v>
      </c>
      <c r="E77" s="8" t="s">
        <v>355</v>
      </c>
      <c r="F77" s="13">
        <f>HLOOKUP($E$5,'Bourgeoisie bilan'!$F$4:$S$229,71,0)</f>
        <v>2916845.45</v>
      </c>
    </row>
    <row r="78" spans="2:6" x14ac:dyDescent="0.2">
      <c r="D78" s="8">
        <v>1405</v>
      </c>
      <c r="E78" s="8" t="s">
        <v>356</v>
      </c>
      <c r="F78" s="13">
        <f>HLOOKUP($E$5,'Bourgeoisie bilan'!$F$4:$S$229,72,0)</f>
        <v>7033144</v>
      </c>
    </row>
    <row r="79" spans="2:6" x14ac:dyDescent="0.2">
      <c r="D79" s="8">
        <v>1406</v>
      </c>
      <c r="E79" s="8" t="s">
        <v>357</v>
      </c>
      <c r="F79" s="13">
        <f>HLOOKUP($E$5,'Bourgeoisie bilan'!$F$4:$S$229,73,0)</f>
        <v>41005</v>
      </c>
    </row>
    <row r="80" spans="2:6" x14ac:dyDescent="0.2">
      <c r="D80" s="8">
        <v>1407</v>
      </c>
      <c r="E80" s="8" t="s">
        <v>358</v>
      </c>
      <c r="F80" s="13">
        <f>HLOOKUP($E$5,'Bourgeoisie bilan'!$F$4:$S$229,74,0)</f>
        <v>43690</v>
      </c>
    </row>
    <row r="81" spans="3:6" x14ac:dyDescent="0.2">
      <c r="D81" s="8">
        <v>1409</v>
      </c>
      <c r="E81" s="8" t="s">
        <v>359</v>
      </c>
      <c r="F81" s="13">
        <f>HLOOKUP($E$5,'Bourgeoisie bilan'!$F$4:$S$229,75,0)</f>
        <v>0</v>
      </c>
    </row>
    <row r="82" spans="3:6" x14ac:dyDescent="0.2">
      <c r="F82" s="13"/>
    </row>
    <row r="83" spans="3:6" ht="15" x14ac:dyDescent="0.25">
      <c r="C83" s="85">
        <v>142</v>
      </c>
      <c r="D83" s="85"/>
      <c r="E83" s="85" t="s">
        <v>571</v>
      </c>
      <c r="F83" s="107">
        <f>HLOOKUP($E$5,'Bourgeoisie bilan'!$F$4:$S$229,77,0)</f>
        <v>0</v>
      </c>
    </row>
    <row r="84" spans="3:6" x14ac:dyDescent="0.2">
      <c r="D84" s="17">
        <v>1420</v>
      </c>
      <c r="E84" s="17" t="s">
        <v>360</v>
      </c>
      <c r="F84" s="13">
        <f>HLOOKUP($E$5,'Bourgeoisie bilan'!$F$4:$S$229,78,0)</f>
        <v>0</v>
      </c>
    </row>
    <row r="85" spans="3:6" x14ac:dyDescent="0.2">
      <c r="D85" s="17">
        <v>1421</v>
      </c>
      <c r="E85" s="17" t="s">
        <v>361</v>
      </c>
      <c r="F85" s="13">
        <f>HLOOKUP($E$5,'Bourgeoisie bilan'!$F$4:$S$229,79,0)</f>
        <v>0</v>
      </c>
    </row>
    <row r="86" spans="3:6" x14ac:dyDescent="0.2">
      <c r="D86" s="17">
        <v>1427</v>
      </c>
      <c r="E86" s="17" t="s">
        <v>570</v>
      </c>
      <c r="F86" s="13">
        <f>HLOOKUP($E$5,'Bourgeoisie bilan'!$F$4:$S$229,80,0)</f>
        <v>0</v>
      </c>
    </row>
    <row r="87" spans="3:6" x14ac:dyDescent="0.2">
      <c r="D87" s="17">
        <v>1429</v>
      </c>
      <c r="E87" s="17" t="s">
        <v>459</v>
      </c>
      <c r="F87" s="13">
        <f>HLOOKUP($E$5,'Bourgeoisie bilan'!$F$4:$S$229,81,0)</f>
        <v>0</v>
      </c>
    </row>
    <row r="88" spans="3:6" x14ac:dyDescent="0.2">
      <c r="F88" s="13"/>
    </row>
    <row r="89" spans="3:6" ht="15" x14ac:dyDescent="0.25">
      <c r="C89" s="85">
        <v>144</v>
      </c>
      <c r="D89" s="85"/>
      <c r="E89" s="85" t="s">
        <v>246</v>
      </c>
      <c r="F89" s="107">
        <f>HLOOKUP($E$5,'Bourgeoisie bilan'!$F$4:$S$229,83,0)</f>
        <v>64800</v>
      </c>
    </row>
    <row r="90" spans="3:6" x14ac:dyDescent="0.2">
      <c r="D90" s="8">
        <v>1440</v>
      </c>
      <c r="E90" s="8" t="s">
        <v>362</v>
      </c>
      <c r="F90" s="13">
        <f>HLOOKUP($E$5,'Bourgeoisie bilan'!$F$4:$S$229,83,0)</f>
        <v>64800</v>
      </c>
    </row>
    <row r="91" spans="3:6" x14ac:dyDescent="0.2">
      <c r="D91" s="8">
        <v>1441</v>
      </c>
      <c r="E91" s="8" t="s">
        <v>364</v>
      </c>
      <c r="F91" s="13">
        <f>HLOOKUP($E$5,'Bourgeoisie bilan'!$F$4:$S$229,85,0)</f>
        <v>0</v>
      </c>
    </row>
    <row r="92" spans="3:6" x14ac:dyDescent="0.2">
      <c r="D92" s="8">
        <v>1442</v>
      </c>
      <c r="E92" s="8" t="s">
        <v>363</v>
      </c>
      <c r="F92" s="13">
        <f>HLOOKUP($E$5,'Bourgeoisie bilan'!$F$4:$S$229,86,0)</f>
        <v>22800</v>
      </c>
    </row>
    <row r="93" spans="3:6" x14ac:dyDescent="0.2">
      <c r="D93" s="8">
        <v>1443</v>
      </c>
      <c r="E93" s="8" t="s">
        <v>365</v>
      </c>
      <c r="F93" s="13">
        <f>HLOOKUP($E$5,'Bourgeoisie bilan'!$F$4:$S$229,87,0)</f>
        <v>0</v>
      </c>
    </row>
    <row r="94" spans="3:6" x14ac:dyDescent="0.2">
      <c r="D94" s="8">
        <v>1444</v>
      </c>
      <c r="E94" s="8" t="s">
        <v>366</v>
      </c>
      <c r="F94" s="13">
        <f>HLOOKUP($E$5,'Bourgeoisie bilan'!$F$4:$S$229,88,0)</f>
        <v>0</v>
      </c>
    </row>
    <row r="95" spans="3:6" x14ac:dyDescent="0.2">
      <c r="D95" s="8">
        <v>1445</v>
      </c>
      <c r="E95" s="8" t="s">
        <v>367</v>
      </c>
      <c r="F95" s="13">
        <f>HLOOKUP($E$5,'Bourgeoisie bilan'!$F$4:$S$229,89,0)</f>
        <v>0</v>
      </c>
    </row>
    <row r="96" spans="3:6" x14ac:dyDescent="0.2">
      <c r="D96" s="8">
        <v>1446</v>
      </c>
      <c r="E96" s="8" t="s">
        <v>368</v>
      </c>
      <c r="F96" s="13">
        <f>HLOOKUP($E$5,'Bourgeoisie bilan'!$F$4:$S$229,90,0)</f>
        <v>42000</v>
      </c>
    </row>
    <row r="97" spans="3:6" x14ac:dyDescent="0.2">
      <c r="D97" s="8">
        <v>1447</v>
      </c>
      <c r="E97" s="8" t="s">
        <v>369</v>
      </c>
      <c r="F97" s="13">
        <f>HLOOKUP($E$5,'Bourgeoisie bilan'!$F$4:$S$229,91,0)</f>
        <v>0</v>
      </c>
    </row>
    <row r="98" spans="3:6" x14ac:dyDescent="0.2">
      <c r="D98" s="8">
        <v>1448</v>
      </c>
      <c r="E98" s="8" t="s">
        <v>370</v>
      </c>
      <c r="F98" s="13">
        <f>HLOOKUP($E$5,'Bourgeoisie bilan'!$F$4:$S$229,92,0)</f>
        <v>0</v>
      </c>
    </row>
    <row r="99" spans="3:6" x14ac:dyDescent="0.2">
      <c r="F99" s="13"/>
    </row>
    <row r="100" spans="3:6" ht="15" x14ac:dyDescent="0.25">
      <c r="C100" s="85">
        <v>145</v>
      </c>
      <c r="D100" s="85"/>
      <c r="E100" s="85" t="s">
        <v>373</v>
      </c>
      <c r="F100" s="107">
        <f>HLOOKUP($E$5,'Bourgeoisie bilan'!$F$4:$S$229,94,0)</f>
        <v>60005</v>
      </c>
    </row>
    <row r="101" spans="3:6" x14ac:dyDescent="0.2">
      <c r="D101" s="8">
        <v>1450</v>
      </c>
      <c r="E101" s="8" t="s">
        <v>372</v>
      </c>
      <c r="F101" s="13">
        <f>HLOOKUP($E$5,'Bourgeoisie bilan'!$F$4:$S$229,95,0)</f>
        <v>0</v>
      </c>
    </row>
    <row r="102" spans="3:6" x14ac:dyDescent="0.2">
      <c r="D102" s="8">
        <v>1451</v>
      </c>
      <c r="E102" s="8" t="s">
        <v>371</v>
      </c>
      <c r="F102" s="13">
        <f>HLOOKUP($E$5,'Bourgeoisie bilan'!$F$4:$S$229,96,0)</f>
        <v>0</v>
      </c>
    </row>
    <row r="103" spans="3:6" x14ac:dyDescent="0.2">
      <c r="D103" s="8">
        <v>1452</v>
      </c>
      <c r="E103" s="8" t="s">
        <v>374</v>
      </c>
      <c r="F103" s="13">
        <f>HLOOKUP($E$5,'Bourgeoisie bilan'!$F$4:$S$229,97,0)</f>
        <v>0</v>
      </c>
    </row>
    <row r="104" spans="3:6" x14ac:dyDescent="0.2">
      <c r="D104" s="8">
        <v>1453</v>
      </c>
      <c r="E104" s="8" t="s">
        <v>375</v>
      </c>
      <c r="F104" s="13">
        <f>HLOOKUP($E$5,'Bourgeoisie bilan'!$F$4:$S$229,98,0)</f>
        <v>0</v>
      </c>
    </row>
    <row r="105" spans="3:6" x14ac:dyDescent="0.2">
      <c r="D105" s="8">
        <v>1454</v>
      </c>
      <c r="E105" s="8" t="s">
        <v>376</v>
      </c>
      <c r="F105" s="13">
        <f>HLOOKUP($E$5,'Bourgeoisie bilan'!$F$4:$S$229,99,0)</f>
        <v>2</v>
      </c>
    </row>
    <row r="106" spans="3:6" x14ac:dyDescent="0.2">
      <c r="D106" s="8">
        <v>1455</v>
      </c>
      <c r="E106" s="8" t="s">
        <v>377</v>
      </c>
      <c r="F106" s="13">
        <f>HLOOKUP($E$5,'Bourgeoisie bilan'!$F$4:$S$229,100,0)</f>
        <v>60003</v>
      </c>
    </row>
    <row r="107" spans="3:6" x14ac:dyDescent="0.2">
      <c r="D107" s="8">
        <v>1456</v>
      </c>
      <c r="E107" s="8" t="s">
        <v>378</v>
      </c>
      <c r="F107" s="13">
        <f>HLOOKUP($E$5,'Bourgeoisie bilan'!$F$4:$S$229,101,0)</f>
        <v>0</v>
      </c>
    </row>
    <row r="108" spans="3:6" x14ac:dyDescent="0.2">
      <c r="D108" s="8">
        <v>1457</v>
      </c>
      <c r="E108" s="8" t="s">
        <v>379</v>
      </c>
      <c r="F108" s="13">
        <f>HLOOKUP($E$5,'Bourgeoisie bilan'!$F$4:$S$229,102,0)</f>
        <v>0</v>
      </c>
    </row>
    <row r="109" spans="3:6" x14ac:dyDescent="0.2">
      <c r="D109" s="8">
        <v>1458</v>
      </c>
      <c r="E109" s="8" t="s">
        <v>380</v>
      </c>
      <c r="F109" s="13">
        <f>HLOOKUP($E$5,'Bourgeoisie bilan'!$F$4:$S$229,103,0)</f>
        <v>0</v>
      </c>
    </row>
    <row r="110" spans="3:6" x14ac:dyDescent="0.2">
      <c r="F110" s="13"/>
    </row>
    <row r="111" spans="3:6" ht="15" x14ac:dyDescent="0.25">
      <c r="C111" s="85">
        <v>146</v>
      </c>
      <c r="D111" s="85"/>
      <c r="E111" s="85" t="s">
        <v>391</v>
      </c>
      <c r="F111" s="107">
        <f>HLOOKUP($E$5,'Bourgeoisie bilan'!$F$4:$S$229,105,0)</f>
        <v>0</v>
      </c>
    </row>
    <row r="112" spans="3:6" x14ac:dyDescent="0.2">
      <c r="D112" s="8">
        <v>1460</v>
      </c>
      <c r="E112" s="8" t="s">
        <v>388</v>
      </c>
      <c r="F112" s="13">
        <f>HLOOKUP($E$5,'Bourgeoisie bilan'!$F$4:$S$229,106,0)</f>
        <v>0</v>
      </c>
    </row>
    <row r="113" spans="1:6" x14ac:dyDescent="0.2">
      <c r="D113" s="8">
        <v>1461</v>
      </c>
      <c r="E113" s="8" t="s">
        <v>389</v>
      </c>
      <c r="F113" s="13">
        <f>HLOOKUP($E$5,'Bourgeoisie bilan'!$F$4:$S$229,107,0)</f>
        <v>0</v>
      </c>
    </row>
    <row r="114" spans="1:6" x14ac:dyDescent="0.2">
      <c r="D114" s="8">
        <v>1462</v>
      </c>
      <c r="E114" s="8" t="s">
        <v>381</v>
      </c>
      <c r="F114" s="13">
        <f>HLOOKUP($E$5,'Bourgeoisie bilan'!$F$4:$S$229,108,0)</f>
        <v>0</v>
      </c>
    </row>
    <row r="115" spans="1:6" x14ac:dyDescent="0.2">
      <c r="D115" s="8">
        <v>1463</v>
      </c>
      <c r="E115" s="8" t="s">
        <v>382</v>
      </c>
      <c r="F115" s="13">
        <f>HLOOKUP($E$5,'Bourgeoisie bilan'!$F$4:$S$229,109,0)</f>
        <v>0</v>
      </c>
    </row>
    <row r="116" spans="1:6" x14ac:dyDescent="0.2">
      <c r="D116" s="8">
        <v>1464</v>
      </c>
      <c r="E116" s="8" t="s">
        <v>383</v>
      </c>
      <c r="F116" s="13">
        <f>HLOOKUP($E$5,'Bourgeoisie bilan'!$F$4:$S$229,110,0)</f>
        <v>0</v>
      </c>
    </row>
    <row r="117" spans="1:6" x14ac:dyDescent="0.2">
      <c r="D117" s="8">
        <v>1465</v>
      </c>
      <c r="E117" s="8" t="s">
        <v>384</v>
      </c>
      <c r="F117" s="13">
        <f>HLOOKUP($E$5,'Bourgeoisie bilan'!$F$4:$S$229,111,0)</f>
        <v>0</v>
      </c>
    </row>
    <row r="118" spans="1:6" x14ac:dyDescent="0.2">
      <c r="D118" s="8">
        <v>1466</v>
      </c>
      <c r="E118" s="8" t="s">
        <v>390</v>
      </c>
      <c r="F118" s="13">
        <f>HLOOKUP($E$5,'Bourgeoisie bilan'!$F$4:$S$229,112,0)</f>
        <v>0</v>
      </c>
    </row>
    <row r="119" spans="1:6" x14ac:dyDescent="0.2">
      <c r="D119" s="8">
        <v>1467</v>
      </c>
      <c r="E119" s="8" t="s">
        <v>385</v>
      </c>
      <c r="F119" s="13">
        <f>HLOOKUP($E$5,'Bourgeoisie bilan'!$F$4:$S$229,113,0)</f>
        <v>0</v>
      </c>
    </row>
    <row r="120" spans="1:6" x14ac:dyDescent="0.2">
      <c r="D120" s="8">
        <v>1468</v>
      </c>
      <c r="E120" s="8" t="s">
        <v>386</v>
      </c>
      <c r="F120" s="13">
        <f>HLOOKUP($E$5,'Bourgeoisie bilan'!$F$4:$S$229,114,0)</f>
        <v>0</v>
      </c>
    </row>
    <row r="121" spans="1:6" x14ac:dyDescent="0.2">
      <c r="D121" s="8">
        <v>1469</v>
      </c>
      <c r="E121" s="8" t="s">
        <v>387</v>
      </c>
      <c r="F121" s="13">
        <f>HLOOKUP($E$5,'Bourgeoisie bilan'!$F$4:$S$229,115,0)</f>
        <v>0</v>
      </c>
    </row>
    <row r="122" spans="1:6" x14ac:dyDescent="0.2">
      <c r="F122" s="13"/>
    </row>
    <row r="123" spans="1:6" x14ac:dyDescent="0.2">
      <c r="F123" s="13"/>
    </row>
    <row r="124" spans="1:6" ht="20.25" x14ac:dyDescent="0.3">
      <c r="A124" s="21">
        <v>2</v>
      </c>
      <c r="B124" s="21"/>
      <c r="C124" s="21"/>
      <c r="D124" s="21"/>
      <c r="E124" s="21" t="s">
        <v>247</v>
      </c>
      <c r="F124" s="130">
        <f>HLOOKUP($E$5,'Bourgeoisie bilan'!$F$4:$S$229,118,0)</f>
        <v>62241655.060000002</v>
      </c>
    </row>
    <row r="125" spans="1:6" ht="15" x14ac:dyDescent="0.25">
      <c r="A125" s="7"/>
      <c r="B125" s="121">
        <v>20</v>
      </c>
      <c r="C125" s="121"/>
      <c r="D125" s="121"/>
      <c r="E125" s="121" t="s">
        <v>248</v>
      </c>
      <c r="F125" s="122">
        <f>HLOOKUP($E$5,'Bourgeoisie bilan'!$F$4:$S$229,119,0)</f>
        <v>9545976.6400000006</v>
      </c>
    </row>
    <row r="126" spans="1:6" ht="15" x14ac:dyDescent="0.25">
      <c r="C126" s="123">
        <v>200</v>
      </c>
      <c r="D126" s="123"/>
      <c r="E126" s="123" t="s">
        <v>249</v>
      </c>
      <c r="F126" s="124">
        <f>HLOOKUP($E$5,'Bourgeoisie bilan'!$F$4:$S$229,120,0)</f>
        <v>251219.42</v>
      </c>
    </row>
    <row r="127" spans="1:6" x14ac:dyDescent="0.2">
      <c r="D127" s="8">
        <v>2000</v>
      </c>
      <c r="E127" s="8" t="s">
        <v>392</v>
      </c>
      <c r="F127" s="13">
        <f>HLOOKUP($E$5,'Bourgeoisie bilan'!$F$4:$S$229,121,0)</f>
        <v>245854.42</v>
      </c>
    </row>
    <row r="128" spans="1:6" x14ac:dyDescent="0.2">
      <c r="D128" s="8">
        <v>2001</v>
      </c>
      <c r="E128" s="8" t="s">
        <v>393</v>
      </c>
      <c r="F128" s="13">
        <f>HLOOKUP($E$5,'Bourgeoisie bilan'!$F$4:$S$229,122,0)</f>
        <v>15</v>
      </c>
    </row>
    <row r="129" spans="3:6" x14ac:dyDescent="0.2">
      <c r="D129" s="8">
        <v>2002</v>
      </c>
      <c r="E129" s="8" t="s">
        <v>394</v>
      </c>
      <c r="F129" s="13">
        <f>HLOOKUP($E$5,'Bourgeoisie bilan'!$F$4:$S$229,123,0)</f>
        <v>0</v>
      </c>
    </row>
    <row r="130" spans="3:6" x14ac:dyDescent="0.2">
      <c r="D130" s="8">
        <v>2003</v>
      </c>
      <c r="E130" s="8" t="s">
        <v>395</v>
      </c>
      <c r="F130" s="13">
        <f>HLOOKUP($E$5,'Bourgeoisie bilan'!$F$4:$S$229,124,0)</f>
        <v>5350</v>
      </c>
    </row>
    <row r="131" spans="3:6" x14ac:dyDescent="0.2">
      <c r="D131" s="8">
        <v>2004</v>
      </c>
      <c r="E131" s="8" t="s">
        <v>396</v>
      </c>
      <c r="F131" s="13">
        <f>HLOOKUP($E$5,'Bourgeoisie bilan'!$F$4:$S$229,125,0)</f>
        <v>0</v>
      </c>
    </row>
    <row r="132" spans="3:6" x14ac:dyDescent="0.2">
      <c r="D132" s="8">
        <v>2005</v>
      </c>
      <c r="E132" s="8" t="s">
        <v>317</v>
      </c>
      <c r="F132" s="13">
        <f>HLOOKUP($E$5,'Bourgeoisie bilan'!$F$4:$S$229,126,0)</f>
        <v>0</v>
      </c>
    </row>
    <row r="133" spans="3:6" x14ac:dyDescent="0.2">
      <c r="D133" s="8">
        <v>2006</v>
      </c>
      <c r="E133" s="8" t="s">
        <v>441</v>
      </c>
      <c r="F133" s="13">
        <f>HLOOKUP($E$5,'Bourgeoisie bilan'!$F$4:$S$229,127,0)</f>
        <v>0</v>
      </c>
    </row>
    <row r="134" spans="3:6" x14ac:dyDescent="0.2">
      <c r="D134" s="8">
        <v>2009</v>
      </c>
      <c r="E134" s="8" t="s">
        <v>398</v>
      </c>
      <c r="F134" s="13">
        <f>HLOOKUP($E$5,'Bourgeoisie bilan'!$F$4:$S$229,128,0)</f>
        <v>0</v>
      </c>
    </row>
    <row r="135" spans="3:6" x14ac:dyDescent="0.2">
      <c r="F135" s="13"/>
    </row>
    <row r="136" spans="3:6" ht="15" x14ac:dyDescent="0.25">
      <c r="C136" s="123">
        <v>201</v>
      </c>
      <c r="D136" s="123"/>
      <c r="E136" s="123" t="s">
        <v>250</v>
      </c>
      <c r="F136" s="124">
        <f>HLOOKUP($E$5,'Bourgeoisie bilan'!$F$4:$S$229,130,0)</f>
        <v>33000</v>
      </c>
    </row>
    <row r="137" spans="3:6" x14ac:dyDescent="0.2">
      <c r="D137" s="8">
        <v>2010</v>
      </c>
      <c r="E137" s="8" t="s">
        <v>399</v>
      </c>
      <c r="F137" s="13">
        <f>HLOOKUP($E$5,'Bourgeoisie bilan'!$F$4:$S$229,131,0)</f>
        <v>0</v>
      </c>
    </row>
    <row r="138" spans="3:6" x14ac:dyDescent="0.2">
      <c r="D138" s="8">
        <v>2011</v>
      </c>
      <c r="E138" s="8" t="s">
        <v>400</v>
      </c>
      <c r="F138" s="13">
        <f>HLOOKUP($E$5,'Bourgeoisie bilan'!$F$4:$S$229,132,0)</f>
        <v>0</v>
      </c>
    </row>
    <row r="139" spans="3:6" x14ac:dyDescent="0.2">
      <c r="D139" s="8">
        <v>2012</v>
      </c>
      <c r="E139" s="8" t="s">
        <v>401</v>
      </c>
      <c r="F139" s="13">
        <f>HLOOKUP($E$5,'Bourgeoisie bilan'!$F$4:$S$229,133,0)</f>
        <v>0</v>
      </c>
    </row>
    <row r="140" spans="3:6" x14ac:dyDescent="0.2">
      <c r="D140" s="8">
        <v>2013</v>
      </c>
      <c r="E140" s="8" t="s">
        <v>402</v>
      </c>
      <c r="F140" s="13">
        <f>HLOOKUP($E$5,'Bourgeoisie bilan'!$F$4:$S$229,134,0)</f>
        <v>0</v>
      </c>
    </row>
    <row r="141" spans="3:6" x14ac:dyDescent="0.2">
      <c r="D141" s="8">
        <v>2014</v>
      </c>
      <c r="E141" s="8" t="s">
        <v>404</v>
      </c>
      <c r="F141" s="13">
        <f>HLOOKUP($E$5,'Bourgeoisie bilan'!$F$4:$S$229,135,0)</f>
        <v>33000</v>
      </c>
    </row>
    <row r="142" spans="3:6" x14ac:dyDescent="0.2">
      <c r="D142" s="8">
        <v>2015</v>
      </c>
      <c r="E142" s="8" t="s">
        <v>403</v>
      </c>
      <c r="F142" s="13">
        <f>HLOOKUP($E$5,'Bourgeoisie bilan'!$F$4:$S$229,136,0)</f>
        <v>0</v>
      </c>
    </row>
    <row r="143" spans="3:6" x14ac:dyDescent="0.2">
      <c r="D143" s="8">
        <v>2016</v>
      </c>
      <c r="E143" s="8" t="s">
        <v>265</v>
      </c>
      <c r="F143" s="13">
        <f>HLOOKUP($E$5,'Bourgeoisie bilan'!$F$4:$S$229,137,0)</f>
        <v>0</v>
      </c>
    </row>
    <row r="144" spans="3:6" x14ac:dyDescent="0.2">
      <c r="D144" s="8">
        <v>2019</v>
      </c>
      <c r="E144" s="8" t="s">
        <v>405</v>
      </c>
      <c r="F144" s="13">
        <f>HLOOKUP($E$5,'Bourgeoisie bilan'!$F$4:$S$229,138,0)</f>
        <v>0</v>
      </c>
    </row>
    <row r="145" spans="3:6" x14ac:dyDescent="0.2">
      <c r="F145" s="13"/>
    </row>
    <row r="146" spans="3:6" ht="15" x14ac:dyDescent="0.25">
      <c r="C146" s="123">
        <v>204</v>
      </c>
      <c r="D146" s="123"/>
      <c r="E146" s="123" t="s">
        <v>251</v>
      </c>
      <c r="F146" s="124">
        <f>HLOOKUP($E$5,'Bourgeoisie bilan'!$F$4:$S$229,140,0)</f>
        <v>578144.46999999986</v>
      </c>
    </row>
    <row r="147" spans="3:6" x14ac:dyDescent="0.2">
      <c r="D147" s="8">
        <v>2040</v>
      </c>
      <c r="E147" s="8" t="s">
        <v>60</v>
      </c>
      <c r="F147" s="13">
        <f>HLOOKUP($E$5,'Bourgeoisie bilan'!$F$4:$S$229,141,0)</f>
        <v>48342.8</v>
      </c>
    </row>
    <row r="148" spans="3:6" x14ac:dyDescent="0.2">
      <c r="D148" s="8">
        <v>2041</v>
      </c>
      <c r="E148" s="8" t="s">
        <v>273</v>
      </c>
      <c r="F148" s="13">
        <f>HLOOKUP($E$5,'Bourgeoisie bilan'!$F$4:$S$229,142,0)</f>
        <v>202130.40000000002</v>
      </c>
    </row>
    <row r="149" spans="3:6" x14ac:dyDescent="0.2">
      <c r="D149" s="8">
        <v>2042</v>
      </c>
      <c r="E149" s="8" t="s">
        <v>325</v>
      </c>
      <c r="F149" s="13">
        <f>HLOOKUP($E$5,'Bourgeoisie bilan'!$F$4:$S$229,143,0)</f>
        <v>0</v>
      </c>
    </row>
    <row r="150" spans="3:6" x14ac:dyDescent="0.2">
      <c r="D150" s="8">
        <v>2043</v>
      </c>
      <c r="E150" s="8" t="s">
        <v>326</v>
      </c>
      <c r="F150" s="13">
        <f>HLOOKUP($E$5,'Bourgeoisie bilan'!$F$4:$S$229,144,0)</f>
        <v>6257.25</v>
      </c>
    </row>
    <row r="151" spans="3:6" x14ac:dyDescent="0.2">
      <c r="D151" s="8">
        <v>2044</v>
      </c>
      <c r="E151" s="8" t="s">
        <v>406</v>
      </c>
      <c r="F151" s="13">
        <f>HLOOKUP($E$5,'Bourgeoisie bilan'!$F$4:$S$229,145,0)</f>
        <v>89781.74</v>
      </c>
    </row>
    <row r="152" spans="3:6" x14ac:dyDescent="0.2">
      <c r="D152" s="8">
        <v>2045</v>
      </c>
      <c r="E152" s="8" t="s">
        <v>328</v>
      </c>
      <c r="F152" s="13">
        <f>HLOOKUP($E$5,'Bourgeoisie bilan'!$F$4:$S$229,146,0)</f>
        <v>0</v>
      </c>
    </row>
    <row r="153" spans="3:6" x14ac:dyDescent="0.2">
      <c r="D153" s="8">
        <v>2046</v>
      </c>
      <c r="E153" s="8" t="s">
        <v>407</v>
      </c>
      <c r="F153" s="13">
        <f>HLOOKUP($E$5,'Bourgeoisie bilan'!$F$4:$S$229,147,0)</f>
        <v>0</v>
      </c>
    </row>
    <row r="154" spans="3:6" x14ac:dyDescent="0.2">
      <c r="D154" s="8">
        <v>2049</v>
      </c>
      <c r="E154" s="8" t="s">
        <v>408</v>
      </c>
      <c r="F154" s="13">
        <f>HLOOKUP($E$5,'Bourgeoisie bilan'!$F$4:$S$229,148,0)</f>
        <v>231632.28</v>
      </c>
    </row>
    <row r="155" spans="3:6" x14ac:dyDescent="0.2">
      <c r="F155" s="13"/>
    </row>
    <row r="156" spans="3:6" ht="15" x14ac:dyDescent="0.25">
      <c r="C156" s="123">
        <v>205</v>
      </c>
      <c r="D156" s="123"/>
      <c r="E156" s="123" t="s">
        <v>252</v>
      </c>
      <c r="F156" s="124">
        <f>HLOOKUP($E$5,'Bourgeoisie bilan'!$F$4:$S$229,150,0)</f>
        <v>17460.2</v>
      </c>
    </row>
    <row r="157" spans="3:6" x14ac:dyDescent="0.2">
      <c r="D157" s="8">
        <v>2050</v>
      </c>
      <c r="E157" s="8" t="s">
        <v>409</v>
      </c>
      <c r="F157" s="13">
        <f>HLOOKUP($E$5,'Bourgeoisie bilan'!$F$4:$S$229,151,0)</f>
        <v>0</v>
      </c>
    </row>
    <row r="158" spans="3:6" x14ac:dyDescent="0.2">
      <c r="D158" s="8">
        <v>2051</v>
      </c>
      <c r="E158" s="8" t="s">
        <v>410</v>
      </c>
      <c r="F158" s="13">
        <f>HLOOKUP($E$5,'Bourgeoisie bilan'!$F$4:$S$229,152,0)</f>
        <v>0</v>
      </c>
    </row>
    <row r="159" spans="3:6" x14ac:dyDescent="0.2">
      <c r="D159" s="8">
        <v>2052</v>
      </c>
      <c r="E159" s="8" t="s">
        <v>411</v>
      </c>
      <c r="F159" s="13">
        <f>HLOOKUP($E$5,'Bourgeoisie bilan'!$F$4:$S$229,153,0)</f>
        <v>0</v>
      </c>
    </row>
    <row r="160" spans="3:6" x14ac:dyDescent="0.2">
      <c r="D160" s="8">
        <v>2053</v>
      </c>
      <c r="E160" s="8" t="s">
        <v>415</v>
      </c>
      <c r="F160" s="13">
        <f>HLOOKUP($E$5,'Bourgeoisie bilan'!$F$4:$S$229,154,0)</f>
        <v>0</v>
      </c>
    </row>
    <row r="161" spans="3:6" x14ac:dyDescent="0.2">
      <c r="D161" s="8">
        <v>2054</v>
      </c>
      <c r="E161" s="8" t="s">
        <v>413</v>
      </c>
      <c r="F161" s="13">
        <f>HLOOKUP($E$5,'Bourgeoisie bilan'!$F$4:$S$229,155,0)</f>
        <v>0</v>
      </c>
    </row>
    <row r="162" spans="3:6" x14ac:dyDescent="0.2">
      <c r="D162" s="8">
        <v>2055</v>
      </c>
      <c r="E162" s="8" t="s">
        <v>412</v>
      </c>
      <c r="F162" s="13">
        <f>HLOOKUP($E$5,'Bourgeoisie bilan'!$F$4:$S$229,156,0)</f>
        <v>17460.2</v>
      </c>
    </row>
    <row r="163" spans="3:6" x14ac:dyDescent="0.2">
      <c r="D163" s="8">
        <v>2056</v>
      </c>
      <c r="E163" s="8" t="s">
        <v>414</v>
      </c>
      <c r="F163" s="13">
        <f>HLOOKUP($E$5,'Bourgeoisie bilan'!$F$4:$S$229,157,0)</f>
        <v>0</v>
      </c>
    </row>
    <row r="164" spans="3:6" x14ac:dyDescent="0.2">
      <c r="D164" s="8">
        <v>2057</v>
      </c>
      <c r="E164" s="8" t="s">
        <v>416</v>
      </c>
      <c r="F164" s="13">
        <f>HLOOKUP($E$5,'Bourgeoisie bilan'!$F$4:$S$229,158,0)</f>
        <v>0</v>
      </c>
    </row>
    <row r="165" spans="3:6" x14ac:dyDescent="0.2">
      <c r="D165" s="8">
        <v>2058</v>
      </c>
      <c r="E165" s="8" t="s">
        <v>417</v>
      </c>
      <c r="F165" s="13">
        <f>HLOOKUP($E$5,'Bourgeoisie bilan'!$F$4:$S$229,159,0)</f>
        <v>0</v>
      </c>
    </row>
    <row r="166" spans="3:6" x14ac:dyDescent="0.2">
      <c r="D166" s="8">
        <v>2059</v>
      </c>
      <c r="E166" s="8" t="s">
        <v>418</v>
      </c>
      <c r="F166" s="13">
        <f>HLOOKUP($E$5,'Bourgeoisie bilan'!$F$4:$S$229,160,0)</f>
        <v>0</v>
      </c>
    </row>
    <row r="167" spans="3:6" x14ac:dyDescent="0.2">
      <c r="F167" s="13"/>
    </row>
    <row r="168" spans="3:6" ht="15" x14ac:dyDescent="0.25">
      <c r="C168" s="123">
        <v>206</v>
      </c>
      <c r="D168" s="123"/>
      <c r="E168" s="123" t="s">
        <v>253</v>
      </c>
      <c r="F168" s="124">
        <f>HLOOKUP($E$5,'Bourgeoisie bilan'!$F$4:$S$229,162,0)</f>
        <v>7775104</v>
      </c>
    </row>
    <row r="169" spans="3:6" x14ac:dyDescent="0.2">
      <c r="D169" s="8">
        <v>2060</v>
      </c>
      <c r="E169" s="8" t="s">
        <v>419</v>
      </c>
      <c r="F169" s="13">
        <f>HLOOKUP($E$5,'Bourgeoisie bilan'!$F$4:$S$229,163,0)</f>
        <v>6487300</v>
      </c>
    </row>
    <row r="170" spans="3:6" x14ac:dyDescent="0.2">
      <c r="D170" s="8">
        <v>2062</v>
      </c>
      <c r="E170" s="8" t="s">
        <v>420</v>
      </c>
      <c r="F170" s="13">
        <f>HLOOKUP($E$5,'Bourgeoisie bilan'!$F$4:$S$229,164,0)</f>
        <v>0</v>
      </c>
    </row>
    <row r="171" spans="3:6" x14ac:dyDescent="0.2">
      <c r="D171" s="8">
        <v>2063</v>
      </c>
      <c r="E171" s="8" t="s">
        <v>421</v>
      </c>
      <c r="F171" s="13">
        <f>HLOOKUP($E$5,'Bourgeoisie bilan'!$F$4:$S$229,165,0)</f>
        <v>1036004</v>
      </c>
    </row>
    <row r="172" spans="3:6" x14ac:dyDescent="0.2">
      <c r="D172" s="8">
        <v>2064</v>
      </c>
      <c r="E172" s="8" t="s">
        <v>442</v>
      </c>
      <c r="F172" s="13">
        <f>HLOOKUP($E$5,'Bourgeoisie bilan'!$F$4:$S$229,166,0)</f>
        <v>247800</v>
      </c>
    </row>
    <row r="173" spans="3:6" x14ac:dyDescent="0.2">
      <c r="D173" s="8">
        <v>2067</v>
      </c>
      <c r="E173" s="8" t="s">
        <v>423</v>
      </c>
      <c r="F173" s="13">
        <f>HLOOKUP($E$5,'Bourgeoisie bilan'!$F$4:$S$229,167,0)</f>
        <v>0</v>
      </c>
    </row>
    <row r="174" spans="3:6" x14ac:dyDescent="0.2">
      <c r="D174" s="8">
        <v>2069</v>
      </c>
      <c r="E174" s="8" t="s">
        <v>424</v>
      </c>
      <c r="F174" s="13">
        <f>HLOOKUP($E$5,'Bourgeoisie bilan'!$F$4:$S$229,168,0)</f>
        <v>4000</v>
      </c>
    </row>
    <row r="175" spans="3:6" x14ac:dyDescent="0.2">
      <c r="F175" s="13"/>
    </row>
    <row r="176" spans="3:6" ht="15" x14ac:dyDescent="0.25">
      <c r="C176" s="123">
        <v>208</v>
      </c>
      <c r="D176" s="123"/>
      <c r="E176" s="123" t="s">
        <v>254</v>
      </c>
      <c r="F176" s="124">
        <f>HLOOKUP($E$5,'Bourgeoisie bilan'!$F$4:$S$229,170,0)</f>
        <v>797110.7</v>
      </c>
    </row>
    <row r="177" spans="3:6" x14ac:dyDescent="0.2">
      <c r="D177" s="8">
        <v>2081</v>
      </c>
      <c r="E177" s="8" t="s">
        <v>425</v>
      </c>
      <c r="F177" s="13">
        <f>HLOOKUP($E$5,'Bourgeoisie bilan'!$F$4:$S$229,171,0)</f>
        <v>0</v>
      </c>
    </row>
    <row r="178" spans="3:6" x14ac:dyDescent="0.2">
      <c r="D178" s="8">
        <v>2082</v>
      </c>
      <c r="E178" s="8" t="s">
        <v>426</v>
      </c>
      <c r="F178" s="13">
        <f>HLOOKUP($E$5,'Bourgeoisie bilan'!$F$4:$S$229,172,0)</f>
        <v>0</v>
      </c>
    </row>
    <row r="179" spans="3:6" x14ac:dyDescent="0.2">
      <c r="D179" s="8">
        <v>2083</v>
      </c>
      <c r="E179" s="8" t="s">
        <v>427</v>
      </c>
      <c r="F179" s="13">
        <f>HLOOKUP($E$5,'Bourgeoisie bilan'!$F$4:$S$229,173,0)</f>
        <v>0</v>
      </c>
    </row>
    <row r="180" spans="3:6" x14ac:dyDescent="0.2">
      <c r="D180" s="8">
        <v>2084</v>
      </c>
      <c r="E180" s="8" t="s">
        <v>428</v>
      </c>
      <c r="F180" s="13">
        <f>HLOOKUP($E$5,'Bourgeoisie bilan'!$F$4:$S$229,174,0)</f>
        <v>1800</v>
      </c>
    </row>
    <row r="181" spans="3:6" x14ac:dyDescent="0.2">
      <c r="D181" s="8">
        <v>2085</v>
      </c>
      <c r="E181" s="8" t="s">
        <v>430</v>
      </c>
      <c r="F181" s="13">
        <f>HLOOKUP($E$5,'Bourgeoisie bilan'!$F$4:$S$229,175,0)</f>
        <v>795310.7</v>
      </c>
    </row>
    <row r="182" spans="3:6" x14ac:dyDescent="0.2">
      <c r="D182" s="8">
        <v>2086</v>
      </c>
      <c r="E182" s="8" t="s">
        <v>429</v>
      </c>
      <c r="F182" s="13">
        <f>HLOOKUP($E$5,'Bourgeoisie bilan'!$F$4:$S$229,176,0)</f>
        <v>0</v>
      </c>
    </row>
    <row r="183" spans="3:6" x14ac:dyDescent="0.2">
      <c r="D183" s="8">
        <v>2087</v>
      </c>
      <c r="E183" s="8" t="s">
        <v>431</v>
      </c>
      <c r="F183" s="13">
        <f>HLOOKUP($E$5,'Bourgeoisie bilan'!$F$4:$S$229,177,0)</f>
        <v>0</v>
      </c>
    </row>
    <row r="184" spans="3:6" x14ac:dyDescent="0.2">
      <c r="D184" s="8">
        <v>2088</v>
      </c>
      <c r="E184" s="8" t="s">
        <v>432</v>
      </c>
      <c r="F184" s="13">
        <f>HLOOKUP($E$5,'Bourgeoisie bilan'!$F$4:$S$229,178,0)</f>
        <v>0</v>
      </c>
    </row>
    <row r="185" spans="3:6" x14ac:dyDescent="0.2">
      <c r="D185" s="8">
        <v>2089</v>
      </c>
      <c r="E185" s="8" t="s">
        <v>433</v>
      </c>
      <c r="F185" s="13">
        <f>HLOOKUP($E$5,'Bourgeoisie bilan'!$F$4:$S$229,179,0)</f>
        <v>0</v>
      </c>
    </row>
    <row r="186" spans="3:6" x14ac:dyDescent="0.2">
      <c r="F186" s="13"/>
    </row>
    <row r="187" spans="3:6" ht="15" x14ac:dyDescent="0.25">
      <c r="C187" s="123">
        <v>209</v>
      </c>
      <c r="D187" s="123"/>
      <c r="E187" s="123" t="s">
        <v>255</v>
      </c>
      <c r="F187" s="124">
        <f>HLOOKUP($E$5,'Bourgeoisie bilan'!$F$4:$S$229,181,0)</f>
        <v>93937.85</v>
      </c>
    </row>
    <row r="188" spans="3:6" x14ac:dyDescent="0.2">
      <c r="D188" s="8">
        <v>2090</v>
      </c>
      <c r="E188" s="8" t="s">
        <v>255</v>
      </c>
      <c r="F188" s="13">
        <f>HLOOKUP($E$5,'Bourgeoisie bilan'!$F$4:$S$229,182,0)</f>
        <v>93700</v>
      </c>
    </row>
    <row r="189" spans="3:6" x14ac:dyDescent="0.2">
      <c r="D189" s="8">
        <v>2091</v>
      </c>
      <c r="E189" s="8" t="s">
        <v>434</v>
      </c>
      <c r="F189" s="13">
        <f>HLOOKUP($E$5,'Bourgeoisie bilan'!$F$4:$S$229,183,0)</f>
        <v>237.85</v>
      </c>
    </row>
    <row r="190" spans="3:6" x14ac:dyDescent="0.2">
      <c r="D190" s="8">
        <v>2092</v>
      </c>
      <c r="E190" s="8" t="s">
        <v>435</v>
      </c>
      <c r="F190" s="13">
        <f>HLOOKUP($E$5,'Bourgeoisie bilan'!$F$4:$S$229,184,0)</f>
        <v>0</v>
      </c>
    </row>
    <row r="191" spans="3:6" x14ac:dyDescent="0.2">
      <c r="D191" s="8">
        <v>2093</v>
      </c>
      <c r="E191" s="8" t="s">
        <v>436</v>
      </c>
      <c r="F191" s="13">
        <f>HLOOKUP($E$5,'Bourgeoisie bilan'!$F$4:$S$229,185,0)</f>
        <v>0</v>
      </c>
    </row>
    <row r="192" spans="3:6" x14ac:dyDescent="0.2">
      <c r="F192" s="13"/>
    </row>
    <row r="193" spans="2:6" ht="15" x14ac:dyDescent="0.25">
      <c r="B193" s="121">
        <v>29</v>
      </c>
      <c r="C193" s="121"/>
      <c r="D193" s="121"/>
      <c r="E193" s="121" t="s">
        <v>256</v>
      </c>
      <c r="F193" s="122">
        <f>HLOOKUP($E$5,'Bourgeoisie bilan'!$F$4:$S$229,187,0)</f>
        <v>52695678.420000002</v>
      </c>
    </row>
    <row r="194" spans="2:6" ht="15" x14ac:dyDescent="0.25">
      <c r="C194" s="123">
        <v>290</v>
      </c>
      <c r="D194" s="123"/>
      <c r="E194" s="123" t="s">
        <v>257</v>
      </c>
      <c r="F194" s="124">
        <f>HLOOKUP($E$5,'Bourgeoisie bilan'!$F$4:$S$229,188,0)</f>
        <v>5134636.5299999993</v>
      </c>
    </row>
    <row r="195" spans="2:6" x14ac:dyDescent="0.2">
      <c r="D195" s="8">
        <v>2900</v>
      </c>
      <c r="E195" s="8" t="s">
        <v>257</v>
      </c>
      <c r="F195" s="13">
        <f>HLOOKUP($E$5,'Bourgeoisie bilan'!$F$4:$S$229,189,0)</f>
        <v>5134636.5299999993</v>
      </c>
    </row>
    <row r="196" spans="2:6" x14ac:dyDescent="0.2">
      <c r="F196" s="13"/>
    </row>
    <row r="197" spans="2:6" ht="15" x14ac:dyDescent="0.25">
      <c r="C197" s="123">
        <v>291</v>
      </c>
      <c r="D197" s="123"/>
      <c r="E197" s="123" t="s">
        <v>258</v>
      </c>
      <c r="F197" s="124">
        <f>HLOOKUP($E$5,'Bourgeoisie bilan'!$F$4:$S$229,191,0)</f>
        <v>0</v>
      </c>
    </row>
    <row r="198" spans="2:6" x14ac:dyDescent="0.2">
      <c r="D198" s="8">
        <v>2910</v>
      </c>
      <c r="E198" s="8" t="s">
        <v>258</v>
      </c>
      <c r="F198" s="13">
        <f>HLOOKUP($E$5,'Bourgeoisie bilan'!$F$4:$S$229,192,0)</f>
        <v>0</v>
      </c>
    </row>
    <row r="199" spans="2:6" x14ac:dyDescent="0.2">
      <c r="D199" s="8">
        <v>2911</v>
      </c>
      <c r="E199" s="8" t="s">
        <v>437</v>
      </c>
      <c r="F199" s="13">
        <f>HLOOKUP($E$5,'Bourgeoisie bilan'!$F$4:$S$229,193,0)</f>
        <v>0</v>
      </c>
    </row>
    <row r="200" spans="2:6" x14ac:dyDescent="0.2">
      <c r="F200" s="13"/>
    </row>
    <row r="201" spans="2:6" ht="15" x14ac:dyDescent="0.25">
      <c r="C201" s="123">
        <v>292</v>
      </c>
      <c r="D201" s="123"/>
      <c r="E201" s="123" t="s">
        <v>259</v>
      </c>
      <c r="F201" s="124">
        <f>HLOOKUP($E$5,'Bourgeoisie bilan'!$F$4:$S$229,195,0)</f>
        <v>3500</v>
      </c>
    </row>
    <row r="202" spans="2:6" x14ac:dyDescent="0.2">
      <c r="D202" s="8">
        <v>2920</v>
      </c>
      <c r="E202" s="8" t="s">
        <v>259</v>
      </c>
      <c r="F202" s="13">
        <f>HLOOKUP($E$5,'Bourgeoisie bilan'!$F$4:$S$229,196,0)</f>
        <v>3500</v>
      </c>
    </row>
    <row r="203" spans="2:6" x14ac:dyDescent="0.2">
      <c r="F203" s="13"/>
    </row>
    <row r="204" spans="2:6" ht="15" x14ac:dyDescent="0.25">
      <c r="C204" s="123">
        <v>293</v>
      </c>
      <c r="D204" s="123"/>
      <c r="E204" s="123" t="s">
        <v>260</v>
      </c>
      <c r="F204" s="124">
        <f>HLOOKUP($E$5,'Bourgeoisie bilan'!$F$4:$S$229,198,0)</f>
        <v>0</v>
      </c>
    </row>
    <row r="205" spans="2:6" x14ac:dyDescent="0.2">
      <c r="D205" s="8">
        <v>2930</v>
      </c>
      <c r="E205" s="8" t="s">
        <v>260</v>
      </c>
      <c r="F205" s="13">
        <f>HLOOKUP($E$5,'Bourgeoisie bilan'!$F$4:$S$229,199,0)</f>
        <v>0</v>
      </c>
    </row>
    <row r="206" spans="2:6" x14ac:dyDescent="0.2">
      <c r="F206" s="13"/>
    </row>
    <row r="207" spans="2:6" ht="15" x14ac:dyDescent="0.25">
      <c r="C207" s="123">
        <v>294</v>
      </c>
      <c r="D207" s="123"/>
      <c r="E207" s="123" t="s">
        <v>261</v>
      </c>
      <c r="F207" s="124">
        <f>HLOOKUP($E$5,'Bourgeoisie bilan'!$F$4:$S$229,201,0)</f>
        <v>174837.24</v>
      </c>
    </row>
    <row r="208" spans="2:6" x14ac:dyDescent="0.2">
      <c r="D208" s="8">
        <v>2940</v>
      </c>
      <c r="E208" s="8" t="s">
        <v>261</v>
      </c>
      <c r="F208" s="13">
        <f>HLOOKUP($E$5,'Bourgeoisie bilan'!$F$4:$S$229,202,0)</f>
        <v>174837.24</v>
      </c>
    </row>
    <row r="209" spans="3:6" x14ac:dyDescent="0.2">
      <c r="F209" s="13"/>
    </row>
    <row r="210" spans="3:6" ht="15" x14ac:dyDescent="0.25">
      <c r="C210" s="123">
        <v>295</v>
      </c>
      <c r="D210" s="123"/>
      <c r="E210" s="123" t="s">
        <v>262</v>
      </c>
      <c r="F210" s="124">
        <f>HLOOKUP($E$5,'Bourgeoisie bilan'!$F$4:$S$229,204,0)</f>
        <v>9000</v>
      </c>
    </row>
    <row r="211" spans="3:6" x14ac:dyDescent="0.2">
      <c r="D211" s="8">
        <v>2950</v>
      </c>
      <c r="E211" s="8" t="s">
        <v>262</v>
      </c>
      <c r="F211" s="13">
        <f>HLOOKUP($E$5,'Bourgeoisie bilan'!$F$4:$S$229,205,0)</f>
        <v>9000</v>
      </c>
    </row>
    <row r="212" spans="3:6" x14ac:dyDescent="0.2">
      <c r="F212" s="13"/>
    </row>
    <row r="213" spans="3:6" ht="15" x14ac:dyDescent="0.25">
      <c r="C213" s="123">
        <v>296</v>
      </c>
      <c r="D213" s="123"/>
      <c r="E213" s="123" t="s">
        <v>263</v>
      </c>
      <c r="F213" s="124">
        <f>HLOOKUP($E$5,'Bourgeoisie bilan'!$F$4:$S$229,207,0)</f>
        <v>23843477</v>
      </c>
    </row>
    <row r="214" spans="3:6" x14ac:dyDescent="0.2">
      <c r="D214" s="8">
        <v>2960</v>
      </c>
      <c r="E214" s="8" t="s">
        <v>263</v>
      </c>
      <c r="F214" s="13">
        <f>HLOOKUP($E$5,'Bourgeoisie bilan'!$F$4:$S$229,208,0)</f>
        <v>23843477</v>
      </c>
    </row>
    <row r="215" spans="3:6" x14ac:dyDescent="0.2">
      <c r="F215" s="13"/>
    </row>
    <row r="216" spans="3:6" ht="15" x14ac:dyDescent="0.25">
      <c r="C216" s="123">
        <v>298</v>
      </c>
      <c r="D216" s="123"/>
      <c r="E216" s="123" t="s">
        <v>264</v>
      </c>
      <c r="F216" s="124">
        <f>HLOOKUP($E$5,'Bourgeoisie bilan'!$F$4:$S$229,210,0)</f>
        <v>0</v>
      </c>
    </row>
    <row r="217" spans="3:6" x14ac:dyDescent="0.2">
      <c r="D217" s="8">
        <v>2980</v>
      </c>
      <c r="E217" s="8" t="s">
        <v>264</v>
      </c>
      <c r="F217" s="13">
        <f>HLOOKUP($E$5,'Bourgeoisie bilan'!$F$4:$S$229,211,0)</f>
        <v>0</v>
      </c>
    </row>
    <row r="218" spans="3:6" x14ac:dyDescent="0.2">
      <c r="F218" s="13"/>
    </row>
    <row r="219" spans="3:6" ht="15" x14ac:dyDescent="0.25">
      <c r="C219" s="123">
        <v>299</v>
      </c>
      <c r="D219" s="123"/>
      <c r="E219" s="123" t="s">
        <v>438</v>
      </c>
      <c r="F219" s="124">
        <f>HLOOKUP($E$5,'Bourgeoisie bilan'!$F$4:$S$229,213,0)</f>
        <v>23530227.650000002</v>
      </c>
    </row>
    <row r="220" spans="3:6" x14ac:dyDescent="0.2">
      <c r="D220" s="8">
        <v>2990</v>
      </c>
      <c r="E220" s="8" t="s">
        <v>438</v>
      </c>
      <c r="F220" s="13">
        <f>HLOOKUP($E$5,'Bourgeoisie bilan'!$F$4:$S$229,214,0)</f>
        <v>42952.65</v>
      </c>
    </row>
    <row r="221" spans="3:6" x14ac:dyDescent="0.2">
      <c r="D221" s="8">
        <v>2999</v>
      </c>
      <c r="E221" s="8" t="s">
        <v>815</v>
      </c>
      <c r="F221" s="13">
        <f>HLOOKUP($E$5,'Bourgeoisie bilan'!$F$4:$S$229,215,0)</f>
        <v>23487274.999999996</v>
      </c>
    </row>
    <row r="222" spans="3:6" x14ac:dyDescent="0.2">
      <c r="F222" s="13"/>
    </row>
    <row r="223" spans="3:6" ht="15" x14ac:dyDescent="0.25">
      <c r="C223" s="127"/>
      <c r="D223" s="127"/>
      <c r="E223" s="127" t="s">
        <v>574</v>
      </c>
      <c r="F223" s="13">
        <f>HLOOKUP($E$5,'Bourgeoisie bilan'!$F$4:$S$229,217,0)</f>
        <v>0</v>
      </c>
    </row>
    <row r="224" spans="3:6" x14ac:dyDescent="0.2">
      <c r="D224" s="8">
        <v>290</v>
      </c>
      <c r="E224" s="8" t="s">
        <v>573</v>
      </c>
      <c r="F224" s="13">
        <f>HLOOKUP($E$5,'Bourgeoisie bilan'!$F$4:$S$229,218,0)</f>
        <v>0</v>
      </c>
    </row>
    <row r="225" spans="4:6" x14ac:dyDescent="0.2">
      <c r="D225" s="8">
        <v>2990</v>
      </c>
      <c r="E225" s="8" t="s">
        <v>577</v>
      </c>
      <c r="F225" s="13">
        <f>HLOOKUP($E$5,'Bourgeoisie bilan'!$F$4:$S$229,219,0)</f>
        <v>42952.65</v>
      </c>
    </row>
    <row r="226" spans="4:6" x14ac:dyDescent="0.2">
      <c r="F226" s="13"/>
    </row>
    <row r="227" spans="4:6" ht="15" x14ac:dyDescent="0.25">
      <c r="E227" s="7" t="s">
        <v>576</v>
      </c>
      <c r="F227" s="13">
        <f>HLOOKUP($E$5,'Bourgeoisie bilan'!$F$4:$S$229,221,0)</f>
        <v>42952.65</v>
      </c>
    </row>
    <row r="228" spans="4:6" x14ac:dyDescent="0.2">
      <c r="F228" s="13">
        <f>HLOOKUP($E$5,'Bourgeoisie bilan'!$F$4:$S$229,222,0)</f>
        <v>0</v>
      </c>
    </row>
    <row r="229" spans="4:6" x14ac:dyDescent="0.2">
      <c r="E229" s="86" t="s">
        <v>575</v>
      </c>
      <c r="F229" s="13">
        <f>HLOOKUP($E$5,'Bourgeoisie bilan'!$F$4:$S$229,223,0)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2" t="s">
        <v>865</v>
      </c>
      <c r="B2" s="7"/>
    </row>
    <row r="3" spans="1:16" ht="15" customHeight="1" x14ac:dyDescent="0.25">
      <c r="A3" s="133" t="s">
        <v>734</v>
      </c>
      <c r="B3" s="7"/>
    </row>
    <row r="4" spans="1:16" ht="15" customHeight="1" x14ac:dyDescent="0.25">
      <c r="A4" s="7"/>
      <c r="B4" s="7"/>
    </row>
    <row r="5" spans="1:16" ht="15" customHeight="1" x14ac:dyDescent="0.4">
      <c r="A5" s="6"/>
      <c r="B5" s="7"/>
    </row>
    <row r="6" spans="1:16" ht="15" x14ac:dyDescent="0.25">
      <c r="A6" s="134"/>
      <c r="C6" s="9"/>
      <c r="D6" s="9"/>
      <c r="E6" s="9"/>
      <c r="F6" s="9"/>
      <c r="G6" s="9"/>
      <c r="H6" s="9"/>
      <c r="I6" s="9"/>
      <c r="J6" s="9"/>
      <c r="K6" s="9"/>
      <c r="L6" s="9"/>
      <c r="M6" s="9"/>
      <c r="N6" s="9"/>
      <c r="O6" s="9"/>
      <c r="P6" s="9"/>
    </row>
    <row r="7" spans="1:16" x14ac:dyDescent="0.2">
      <c r="C7" s="90" t="s">
        <v>55</v>
      </c>
      <c r="D7" s="90" t="s">
        <v>17</v>
      </c>
      <c r="E7" s="90" t="s">
        <v>56</v>
      </c>
      <c r="F7" s="90" t="s">
        <v>728</v>
      </c>
      <c r="G7" s="90" t="s">
        <v>32</v>
      </c>
      <c r="H7" s="90" t="s">
        <v>27</v>
      </c>
      <c r="I7" s="90" t="s">
        <v>729</v>
      </c>
      <c r="J7" s="90" t="s">
        <v>15</v>
      </c>
      <c r="K7" s="90" t="s">
        <v>730</v>
      </c>
      <c r="L7" s="90" t="s">
        <v>731</v>
      </c>
      <c r="M7" s="90" t="s">
        <v>58</v>
      </c>
      <c r="N7" s="90" t="s">
        <v>732</v>
      </c>
      <c r="O7" s="90" t="s">
        <v>733</v>
      </c>
      <c r="P7" s="112" t="s">
        <v>64</v>
      </c>
    </row>
    <row r="8" spans="1:16" x14ac:dyDescent="0.2">
      <c r="A8" s="8">
        <v>10</v>
      </c>
      <c r="B8" s="8" t="s">
        <v>236</v>
      </c>
      <c r="C8" s="19">
        <f>'Bourgeoisie bilan'!F6</f>
        <v>8816432.9299999997</v>
      </c>
      <c r="D8" s="19">
        <f>'Bourgeoisie bilan'!G6</f>
        <v>82874.460000000006</v>
      </c>
      <c r="E8" s="19">
        <f>'Bourgeoisie bilan'!H6</f>
        <v>457961.12</v>
      </c>
      <c r="F8" s="19">
        <f>'Bourgeoisie bilan'!I6</f>
        <v>300161.61</v>
      </c>
      <c r="G8" s="19">
        <f>'Bourgeoisie bilan'!J6</f>
        <v>1351832.41</v>
      </c>
      <c r="H8" s="19">
        <f>'Bourgeoisie bilan'!K6</f>
        <v>32187642.100000001</v>
      </c>
      <c r="I8" s="19">
        <f>'Bourgeoisie bilan'!L6</f>
        <v>485878.88</v>
      </c>
      <c r="J8" s="19">
        <f>'Bourgeoisie bilan'!M6</f>
        <v>714119.46</v>
      </c>
      <c r="K8" s="19">
        <f>'Bourgeoisie bilan'!N6</f>
        <v>97870.84</v>
      </c>
      <c r="L8" s="19">
        <f>'Bourgeoisie bilan'!O6</f>
        <v>285059.55</v>
      </c>
      <c r="M8" s="19">
        <f>'Bourgeoisie bilan'!P6</f>
        <v>1419504.74</v>
      </c>
      <c r="N8" s="19">
        <f>'Bourgeoisie bilan'!Q6</f>
        <v>841112.95000000007</v>
      </c>
      <c r="O8" s="19">
        <f>'Bourgeoisie bilan'!R6</f>
        <v>1519252.76</v>
      </c>
      <c r="P8" s="19">
        <f>SUM(C8:O8)</f>
        <v>48559703.81000001</v>
      </c>
    </row>
    <row r="9" spans="1:16" x14ac:dyDescent="0.2">
      <c r="C9" s="19"/>
      <c r="D9" s="19"/>
      <c r="E9" s="19"/>
      <c r="F9" s="19"/>
      <c r="G9" s="19"/>
      <c r="H9" s="19"/>
      <c r="I9" s="19"/>
      <c r="J9" s="19"/>
      <c r="K9" s="19"/>
      <c r="L9" s="19"/>
      <c r="M9" s="19"/>
      <c r="N9" s="19"/>
      <c r="O9" s="19"/>
      <c r="P9" s="19"/>
    </row>
    <row r="10" spans="1:16" x14ac:dyDescent="0.2">
      <c r="A10" s="8">
        <v>20</v>
      </c>
      <c r="B10" s="8" t="s">
        <v>248</v>
      </c>
      <c r="C10" s="19">
        <f>'Bourgeoisie bilan'!F122</f>
        <v>3033265.22</v>
      </c>
      <c r="D10" s="19">
        <f>'Bourgeoisie bilan'!G122</f>
        <v>178082.7</v>
      </c>
      <c r="E10" s="19">
        <f>'Bourgeoisie bilan'!H122</f>
        <v>264669.17</v>
      </c>
      <c r="F10" s="19">
        <f>'Bourgeoisie bilan'!I122</f>
        <v>1538.9</v>
      </c>
      <c r="G10" s="19">
        <f>'Bourgeoisie bilan'!J122</f>
        <v>512395.25</v>
      </c>
      <c r="H10" s="19">
        <f>'Bourgeoisie bilan'!K122</f>
        <v>4461676.2799999993</v>
      </c>
      <c r="I10" s="19">
        <f>'Bourgeoisie bilan'!L122</f>
        <v>127769.55</v>
      </c>
      <c r="J10" s="19">
        <f>'Bourgeoisie bilan'!M122</f>
        <v>51276.639999999999</v>
      </c>
      <c r="K10" s="19">
        <f>'Bourgeoisie bilan'!N122</f>
        <v>19057.25</v>
      </c>
      <c r="L10" s="19">
        <f>'Bourgeoisie bilan'!O122</f>
        <v>0</v>
      </c>
      <c r="M10" s="19">
        <f>'Bourgeoisie bilan'!P122</f>
        <v>43762.15</v>
      </c>
      <c r="N10" s="19">
        <f>'Bourgeoisie bilan'!Q122</f>
        <v>404574.95</v>
      </c>
      <c r="O10" s="19">
        <f>'Bourgeoisie bilan'!R122</f>
        <v>447908.58</v>
      </c>
      <c r="P10" s="19">
        <f>SUM(C10:O10)</f>
        <v>9545976.6400000006</v>
      </c>
    </row>
    <row r="11" spans="1:16" x14ac:dyDescent="0.2">
      <c r="C11" s="19"/>
      <c r="D11" s="19"/>
      <c r="E11" s="19"/>
      <c r="F11" s="19"/>
      <c r="G11" s="19"/>
      <c r="H11" s="19"/>
      <c r="I11" s="19"/>
      <c r="J11" s="19"/>
      <c r="K11" s="19"/>
      <c r="L11" s="19"/>
      <c r="M11" s="19"/>
      <c r="N11" s="19"/>
      <c r="O11" s="19"/>
      <c r="P11" s="19"/>
    </row>
    <row r="12" spans="1:16" x14ac:dyDescent="0.2">
      <c r="A12" s="8">
        <v>200</v>
      </c>
      <c r="B12" s="8" t="s">
        <v>445</v>
      </c>
      <c r="C12" s="19">
        <f>'Bourgeoisie bilan'!F123</f>
        <v>61279.67</v>
      </c>
      <c r="D12" s="19">
        <f>'Bourgeoisie bilan'!G123</f>
        <v>15818.7</v>
      </c>
      <c r="E12" s="19">
        <f>'Bourgeoisie bilan'!H123</f>
        <v>0</v>
      </c>
      <c r="F12" s="19">
        <f>'Bourgeoisie bilan'!I123</f>
        <v>0</v>
      </c>
      <c r="G12" s="19">
        <f>'Bourgeoisie bilan'!J123</f>
        <v>3599.85</v>
      </c>
      <c r="H12" s="19">
        <f>'Bourgeoisie bilan'!K123</f>
        <v>170438.7</v>
      </c>
      <c r="I12" s="19">
        <f>'Bourgeoisie bilan'!L123</f>
        <v>0</v>
      </c>
      <c r="J12" s="19">
        <f>'Bourgeoisie bilan'!M123</f>
        <v>0</v>
      </c>
      <c r="K12" s="19">
        <f>'Bourgeoisie bilan'!N123</f>
        <v>0</v>
      </c>
      <c r="L12" s="19">
        <f>'Bourgeoisie bilan'!O123</f>
        <v>0</v>
      </c>
      <c r="M12" s="19">
        <f>'Bourgeoisie bilan'!P123</f>
        <v>0</v>
      </c>
      <c r="N12" s="19">
        <f>'Bourgeoisie bilan'!Q123</f>
        <v>15</v>
      </c>
      <c r="O12" s="19">
        <f>'Bourgeoisie bilan'!R123</f>
        <v>67.5</v>
      </c>
      <c r="P12" s="19">
        <f>SUM(C12:O12)</f>
        <v>251219.42</v>
      </c>
    </row>
    <row r="13" spans="1:16" x14ac:dyDescent="0.2">
      <c r="C13" s="19"/>
      <c r="D13" s="19"/>
      <c r="E13" s="19"/>
      <c r="F13" s="19"/>
      <c r="G13" s="19"/>
      <c r="H13" s="19"/>
      <c r="I13" s="19"/>
      <c r="J13" s="19"/>
      <c r="K13" s="19"/>
      <c r="L13" s="19"/>
      <c r="M13" s="19"/>
      <c r="N13" s="19"/>
      <c r="O13" s="19"/>
      <c r="P13" s="19"/>
    </row>
    <row r="14" spans="1:16" x14ac:dyDescent="0.2">
      <c r="A14" s="8">
        <v>201</v>
      </c>
      <c r="B14" s="8" t="s">
        <v>250</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253</v>
      </c>
      <c r="C16" s="19">
        <f>'Bourgeoisie bilan'!F165</f>
        <v>2870000</v>
      </c>
      <c r="D16" s="19">
        <f>'Bourgeoisie bilan'!G165</f>
        <v>160464</v>
      </c>
      <c r="E16" s="19">
        <f>'Bourgeoisie bilan'!H165</f>
        <v>239000</v>
      </c>
      <c r="F16" s="19">
        <f>'Bourgeoisie bilan'!I165</f>
        <v>0</v>
      </c>
      <c r="G16" s="19">
        <f>'Bourgeoisie bilan'!J165</f>
        <v>355800</v>
      </c>
      <c r="H16" s="19">
        <f>'Bourgeoisie bilan'!K165</f>
        <v>3182300</v>
      </c>
      <c r="I16" s="19">
        <f>'Bourgeoisie bilan'!L165</f>
        <v>126500</v>
      </c>
      <c r="J16" s="19">
        <f>'Bourgeoisie bilan'!M165</f>
        <v>0</v>
      </c>
      <c r="K16" s="19">
        <f>'Bourgeoisie bilan'!N165</f>
        <v>12800</v>
      </c>
      <c r="L16" s="19">
        <f>'Bourgeoisie bilan'!O165</f>
        <v>0</v>
      </c>
      <c r="M16" s="19">
        <f>'Bourgeoisie bilan'!P165</f>
        <v>0</v>
      </c>
      <c r="N16" s="19">
        <f>'Bourgeoisie bilan'!Q165</f>
        <v>393240</v>
      </c>
      <c r="O16" s="19">
        <f>'Bourgeoisie bilan'!R165</f>
        <v>435000</v>
      </c>
      <c r="P16" s="19">
        <f>SUM(C16:O16)</f>
        <v>7775104</v>
      </c>
    </row>
    <row r="17" spans="1:16" x14ac:dyDescent="0.2">
      <c r="C17" s="19"/>
      <c r="D17" s="19"/>
      <c r="E17" s="19"/>
      <c r="F17" s="19"/>
      <c r="G17" s="19"/>
      <c r="H17" s="19"/>
      <c r="I17" s="19"/>
      <c r="J17" s="19"/>
      <c r="K17" s="19"/>
      <c r="L17" s="19"/>
      <c r="M17" s="19"/>
      <c r="N17" s="19"/>
      <c r="O17" s="19"/>
      <c r="P17" s="19"/>
    </row>
    <row r="18" spans="1:16" x14ac:dyDescent="0.2">
      <c r="A18" s="8">
        <v>2016</v>
      </c>
      <c r="B18" s="8" t="s">
        <v>265</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36" t="s">
        <v>557</v>
      </c>
      <c r="C21" s="137">
        <f>C12+C14+C16-C18</f>
        <v>2953279.67</v>
      </c>
      <c r="D21" s="137">
        <f t="shared" ref="D21:O21" si="0">D12+D14+D16-D18</f>
        <v>176282.7</v>
      </c>
      <c r="E21" s="137">
        <f t="shared" si="0"/>
        <v>250000</v>
      </c>
      <c r="F21" s="137">
        <f t="shared" si="0"/>
        <v>0</v>
      </c>
      <c r="G21" s="137">
        <f t="shared" si="0"/>
        <v>359399.85</v>
      </c>
      <c r="H21" s="137">
        <f t="shared" si="0"/>
        <v>3352738.7</v>
      </c>
      <c r="I21" s="137">
        <f t="shared" si="0"/>
        <v>126500</v>
      </c>
      <c r="J21" s="137">
        <f t="shared" si="0"/>
        <v>0</v>
      </c>
      <c r="K21" s="137">
        <f t="shared" si="0"/>
        <v>12800</v>
      </c>
      <c r="L21" s="137">
        <f t="shared" si="0"/>
        <v>0</v>
      </c>
      <c r="M21" s="137">
        <f t="shared" si="0"/>
        <v>0</v>
      </c>
      <c r="N21" s="137">
        <f t="shared" si="0"/>
        <v>393255</v>
      </c>
      <c r="O21" s="137">
        <f t="shared" si="0"/>
        <v>435067.5</v>
      </c>
      <c r="P21" s="137">
        <f>SUM(C21:O21)</f>
        <v>8059323.4199999999</v>
      </c>
    </row>
    <row r="22" spans="1:16" ht="15" x14ac:dyDescent="0.25">
      <c r="B22" s="7"/>
      <c r="C22" s="82"/>
      <c r="D22" s="82"/>
      <c r="E22" s="82"/>
      <c r="F22" s="82"/>
      <c r="G22" s="82"/>
      <c r="H22" s="82"/>
      <c r="I22" s="82"/>
      <c r="J22" s="82"/>
      <c r="K22" s="82"/>
      <c r="L22" s="82"/>
      <c r="M22" s="82"/>
      <c r="N22" s="82"/>
      <c r="O22" s="82"/>
      <c r="P22" s="82"/>
    </row>
    <row r="23" spans="1:16" ht="15" x14ac:dyDescent="0.25">
      <c r="B23" s="136" t="s">
        <v>492</v>
      </c>
      <c r="C23" s="137">
        <f t="shared" ref="C23:O23" si="1">C10-C8</f>
        <v>-5783167.709999999</v>
      </c>
      <c r="D23" s="137">
        <f t="shared" si="1"/>
        <v>95208.24</v>
      </c>
      <c r="E23" s="137">
        <f t="shared" si="1"/>
        <v>-193291.95</v>
      </c>
      <c r="F23" s="137">
        <f t="shared" si="1"/>
        <v>-298622.70999999996</v>
      </c>
      <c r="G23" s="137">
        <f t="shared" si="1"/>
        <v>-839437.15999999992</v>
      </c>
      <c r="H23" s="137">
        <f t="shared" si="1"/>
        <v>-27725965.82</v>
      </c>
      <c r="I23" s="137">
        <f t="shared" si="1"/>
        <v>-358109.33</v>
      </c>
      <c r="J23" s="137">
        <f t="shared" si="1"/>
        <v>-662842.81999999995</v>
      </c>
      <c r="K23" s="137">
        <f t="shared" si="1"/>
        <v>-78813.59</v>
      </c>
      <c r="L23" s="137">
        <f t="shared" si="1"/>
        <v>-285059.55</v>
      </c>
      <c r="M23" s="137">
        <f t="shared" si="1"/>
        <v>-1375742.59</v>
      </c>
      <c r="N23" s="137">
        <f t="shared" si="1"/>
        <v>-436538.00000000006</v>
      </c>
      <c r="O23" s="137">
        <f t="shared" si="1"/>
        <v>-1071344.18</v>
      </c>
      <c r="P23" s="137">
        <f>SUM(C23:O23)</f>
        <v>-39013727.170000002</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874</v>
      </c>
      <c r="B2" s="7"/>
    </row>
    <row r="3" spans="1:3" ht="15" customHeight="1" x14ac:dyDescent="0.4">
      <c r="A3" s="6"/>
      <c r="B3" s="7"/>
    </row>
    <row r="4" spans="1:3" ht="15" customHeight="1" thickBot="1" x14ac:dyDescent="0.3">
      <c r="A4" s="7"/>
      <c r="B4" s="86" t="s">
        <v>736</v>
      </c>
    </row>
    <row r="5" spans="1:3" ht="15" customHeight="1" thickBot="1" x14ac:dyDescent="0.45">
      <c r="A5" s="6"/>
      <c r="B5" s="139" t="s">
        <v>56</v>
      </c>
    </row>
    <row r="6" spans="1:3" ht="15" customHeight="1" x14ac:dyDescent="0.25">
      <c r="C6" s="30"/>
    </row>
    <row r="7" spans="1:3" ht="15" customHeight="1" x14ac:dyDescent="0.25">
      <c r="C7" s="140" t="s">
        <v>198</v>
      </c>
    </row>
    <row r="8" spans="1:3" x14ac:dyDescent="0.2">
      <c r="A8" s="8">
        <v>10</v>
      </c>
      <c r="B8" s="8" t="s">
        <v>236</v>
      </c>
      <c r="C8" s="13">
        <f>HLOOKUP($B$5,'Bourgeoisie endettement'!$C$7:$P$23,2,0)</f>
        <v>457961.12</v>
      </c>
    </row>
    <row r="9" spans="1:3" x14ac:dyDescent="0.2">
      <c r="C9" s="13"/>
    </row>
    <row r="10" spans="1:3" x14ac:dyDescent="0.2">
      <c r="A10" s="8">
        <v>20</v>
      </c>
      <c r="B10" s="8" t="s">
        <v>248</v>
      </c>
      <c r="C10" s="13">
        <f>HLOOKUP($B$5,'Bourgeoisie endettement'!$C$7:$P$23,4,0)</f>
        <v>264669.17</v>
      </c>
    </row>
    <row r="11" spans="1:3" x14ac:dyDescent="0.2">
      <c r="C11" s="13"/>
    </row>
    <row r="12" spans="1:3" x14ac:dyDescent="0.2">
      <c r="A12" s="8">
        <v>200</v>
      </c>
      <c r="B12" s="8" t="s">
        <v>445</v>
      </c>
      <c r="C12" s="13">
        <f>HLOOKUP($B$5,'Bourgeoisie endettement'!$C$7:$P$23,6,0)</f>
        <v>0</v>
      </c>
    </row>
    <row r="13" spans="1:3" x14ac:dyDescent="0.2">
      <c r="C13" s="13"/>
    </row>
    <row r="14" spans="1:3" x14ac:dyDescent="0.2">
      <c r="A14" s="8">
        <v>201</v>
      </c>
      <c r="B14" s="8" t="s">
        <v>250</v>
      </c>
      <c r="C14" s="13">
        <f>HLOOKUP($B$5,'Bourgeoisie endettement'!$C$7:$P$23,8,0)</f>
        <v>11000</v>
      </c>
    </row>
    <row r="15" spans="1:3" x14ac:dyDescent="0.2">
      <c r="C15" s="13"/>
    </row>
    <row r="16" spans="1:3" x14ac:dyDescent="0.2">
      <c r="A16" s="8">
        <v>206</v>
      </c>
      <c r="B16" s="8" t="s">
        <v>253</v>
      </c>
      <c r="C16" s="13">
        <f>HLOOKUP($B$5,'Bourgeoisie endettement'!$C$7:$P$23,10,0)</f>
        <v>239000</v>
      </c>
    </row>
    <row r="17" spans="1:3" x14ac:dyDescent="0.2">
      <c r="C17" s="13"/>
    </row>
    <row r="18" spans="1:3" x14ac:dyDescent="0.2">
      <c r="A18" s="8">
        <v>2016</v>
      </c>
      <c r="B18" s="8" t="s">
        <v>265</v>
      </c>
      <c r="C18" s="13">
        <f>HLOOKUP($B$5,'Bourgeoisie endettement'!$C$7:$P$23,12,0)</f>
        <v>0</v>
      </c>
    </row>
    <row r="19" spans="1:3" x14ac:dyDescent="0.2">
      <c r="C19" s="13"/>
    </row>
    <row r="20" spans="1:3" x14ac:dyDescent="0.2">
      <c r="C20" s="13"/>
    </row>
    <row r="21" spans="1:3" ht="15" x14ac:dyDescent="0.25">
      <c r="B21" s="136" t="s">
        <v>557</v>
      </c>
      <c r="C21" s="138">
        <f>HLOOKUP($B$5,'Bourgeoisie endettement'!$C$7:$P$23,15,0)</f>
        <v>250000</v>
      </c>
    </row>
    <row r="22" spans="1:3" ht="15" x14ac:dyDescent="0.25">
      <c r="B22" s="7"/>
      <c r="C22" s="84"/>
    </row>
    <row r="23" spans="1:3" ht="15" x14ac:dyDescent="0.25">
      <c r="B23" s="136" t="s">
        <v>492</v>
      </c>
      <c r="C23" s="138">
        <f>HLOOKUP($B$5,'Bourgeoisie endettement'!$C$7:$P$23,17,0)</f>
        <v>-193291.95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G12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867</v>
      </c>
      <c r="B2" s="7"/>
      <c r="C2" s="7"/>
      <c r="D2" s="7"/>
    </row>
    <row r="3" spans="1:19" ht="18" x14ac:dyDescent="0.25">
      <c r="A3" s="193" t="s">
        <v>724</v>
      </c>
      <c r="E3" s="175"/>
      <c r="F3" s="175"/>
      <c r="G3" s="175"/>
      <c r="H3" s="175"/>
      <c r="I3" s="175"/>
      <c r="J3" s="175"/>
      <c r="K3" s="175"/>
      <c r="L3" s="175"/>
      <c r="M3" s="175"/>
      <c r="N3" s="175"/>
      <c r="O3" s="175"/>
      <c r="P3" s="175"/>
      <c r="Q3" s="175"/>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41">
        <v>5</v>
      </c>
      <c r="B5" s="141"/>
      <c r="C5" s="141"/>
      <c r="D5" s="141" t="s">
        <v>189</v>
      </c>
      <c r="E5" s="138">
        <f>E6+E16+E26+E31+E42+E53+E64+E75</f>
        <v>0</v>
      </c>
      <c r="F5" s="138">
        <f t="shared" ref="F5:R5" si="0">F6+F16+F26+F31+F42+F53+F64+F75</f>
        <v>0</v>
      </c>
      <c r="G5" s="138">
        <f t="shared" si="0"/>
        <v>0</v>
      </c>
      <c r="H5" s="138">
        <f t="shared" si="0"/>
        <v>0</v>
      </c>
      <c r="I5" s="138">
        <f t="shared" si="0"/>
        <v>71886.25</v>
      </c>
      <c r="J5" s="138">
        <f t="shared" si="0"/>
        <v>412713.05</v>
      </c>
      <c r="K5" s="138">
        <f t="shared" si="0"/>
        <v>0</v>
      </c>
      <c r="L5" s="138">
        <f t="shared" si="0"/>
        <v>0</v>
      </c>
      <c r="M5" s="138">
        <f t="shared" si="0"/>
        <v>0</v>
      </c>
      <c r="N5" s="138">
        <f t="shared" si="0"/>
        <v>0</v>
      </c>
      <c r="O5" s="138">
        <f t="shared" si="0"/>
        <v>0</v>
      </c>
      <c r="P5" s="138">
        <f t="shared" si="0"/>
        <v>0</v>
      </c>
      <c r="Q5" s="138">
        <f t="shared" si="0"/>
        <v>38360</v>
      </c>
      <c r="R5" s="138">
        <f t="shared" si="0"/>
        <v>522959.3</v>
      </c>
    </row>
    <row r="6" spans="1:19" ht="15" x14ac:dyDescent="0.25">
      <c r="A6" s="16"/>
      <c r="B6" s="85">
        <v>50</v>
      </c>
      <c r="C6" s="85"/>
      <c r="D6" s="85" t="s">
        <v>448</v>
      </c>
      <c r="E6" s="107">
        <f>E7+E8+E9+E10+E11+E12+E13+E14</f>
        <v>0</v>
      </c>
      <c r="F6" s="107">
        <f t="shared" ref="F6:R6" si="1">F7+F8+F9+F10+F11+F12+F13+F14</f>
        <v>0</v>
      </c>
      <c r="G6" s="107">
        <f t="shared" si="1"/>
        <v>0</v>
      </c>
      <c r="H6" s="107">
        <f t="shared" si="1"/>
        <v>0</v>
      </c>
      <c r="I6" s="107">
        <f t="shared" si="1"/>
        <v>71886.25</v>
      </c>
      <c r="J6" s="107">
        <f t="shared" si="1"/>
        <v>412713.05</v>
      </c>
      <c r="K6" s="107">
        <f t="shared" si="1"/>
        <v>0</v>
      </c>
      <c r="L6" s="107">
        <f t="shared" si="1"/>
        <v>0</v>
      </c>
      <c r="M6" s="107">
        <f t="shared" si="1"/>
        <v>0</v>
      </c>
      <c r="N6" s="107">
        <f t="shared" si="1"/>
        <v>0</v>
      </c>
      <c r="O6" s="107">
        <f t="shared" si="1"/>
        <v>0</v>
      </c>
      <c r="P6" s="107">
        <f t="shared" si="1"/>
        <v>0</v>
      </c>
      <c r="Q6" s="107">
        <f t="shared" si="1"/>
        <v>38360</v>
      </c>
      <c r="R6" s="107">
        <f t="shared" si="1"/>
        <v>522959.3</v>
      </c>
    </row>
    <row r="7" spans="1:19" x14ac:dyDescent="0.2">
      <c r="C7" s="8">
        <v>500</v>
      </c>
      <c r="D7" s="8" t="s">
        <v>450</v>
      </c>
      <c r="E7" s="13">
        <v>0</v>
      </c>
      <c r="F7" s="13">
        <v>0</v>
      </c>
      <c r="G7" s="13">
        <v>0</v>
      </c>
      <c r="H7" s="13">
        <v>0</v>
      </c>
      <c r="I7" s="13">
        <v>0</v>
      </c>
      <c r="J7" s="13">
        <v>0</v>
      </c>
      <c r="K7" s="13">
        <v>0</v>
      </c>
      <c r="L7" s="13">
        <v>0</v>
      </c>
      <c r="M7" s="13">
        <v>0</v>
      </c>
      <c r="N7" s="13">
        <v>0</v>
      </c>
      <c r="O7" s="13">
        <v>0</v>
      </c>
      <c r="P7" s="13">
        <v>0</v>
      </c>
      <c r="Q7" s="13">
        <v>0</v>
      </c>
      <c r="R7" s="13">
        <f t="shared" ref="R7:R14" si="2">SUM(E7:Q7)</f>
        <v>0</v>
      </c>
      <c r="S7" s="65">
        <v>4</v>
      </c>
    </row>
    <row r="8" spans="1:19" x14ac:dyDescent="0.2">
      <c r="C8" s="8">
        <v>501</v>
      </c>
      <c r="D8" s="8" t="s">
        <v>451</v>
      </c>
      <c r="E8" s="13">
        <v>0</v>
      </c>
      <c r="F8" s="13">
        <v>0</v>
      </c>
      <c r="G8" s="13">
        <v>0</v>
      </c>
      <c r="H8" s="13">
        <v>0</v>
      </c>
      <c r="I8" s="13">
        <v>0</v>
      </c>
      <c r="J8" s="13">
        <v>0</v>
      </c>
      <c r="K8" s="13">
        <v>0</v>
      </c>
      <c r="L8" s="13">
        <v>0</v>
      </c>
      <c r="M8" s="13">
        <v>0</v>
      </c>
      <c r="N8" s="13">
        <v>0</v>
      </c>
      <c r="O8" s="13">
        <v>0</v>
      </c>
      <c r="P8" s="13">
        <v>0</v>
      </c>
      <c r="Q8" s="13">
        <v>38360</v>
      </c>
      <c r="R8" s="13">
        <f t="shared" si="2"/>
        <v>38360</v>
      </c>
      <c r="S8" s="8">
        <v>5</v>
      </c>
    </row>
    <row r="9" spans="1:19" x14ac:dyDescent="0.2">
      <c r="C9" s="8">
        <v>502</v>
      </c>
      <c r="D9" s="8" t="s">
        <v>452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453</v>
      </c>
      <c r="E10" s="13">
        <v>0</v>
      </c>
      <c r="F10" s="13">
        <v>0</v>
      </c>
      <c r="G10" s="13">
        <v>0</v>
      </c>
      <c r="H10" s="13">
        <v>0</v>
      </c>
      <c r="I10" s="13">
        <v>2907.7</v>
      </c>
      <c r="J10" s="13">
        <v>0</v>
      </c>
      <c r="K10" s="13">
        <v>0</v>
      </c>
      <c r="L10" s="13">
        <v>0</v>
      </c>
      <c r="M10" s="13">
        <v>0</v>
      </c>
      <c r="N10" s="13">
        <v>0</v>
      </c>
      <c r="O10" s="13">
        <v>0</v>
      </c>
      <c r="P10" s="13">
        <v>0</v>
      </c>
      <c r="Q10" s="13">
        <v>0</v>
      </c>
      <c r="R10" s="13">
        <f t="shared" si="2"/>
        <v>2907.7</v>
      </c>
      <c r="S10" s="65">
        <v>7</v>
      </c>
    </row>
    <row r="11" spans="1:19" x14ac:dyDescent="0.2">
      <c r="C11" s="8">
        <v>504</v>
      </c>
      <c r="D11" s="8" t="s">
        <v>454</v>
      </c>
      <c r="E11" s="13">
        <v>0</v>
      </c>
      <c r="F11" s="13">
        <v>0</v>
      </c>
      <c r="G11" s="13">
        <v>0</v>
      </c>
      <c r="H11" s="13">
        <v>0</v>
      </c>
      <c r="I11" s="13">
        <v>68978.55</v>
      </c>
      <c r="J11" s="13">
        <v>412713.05</v>
      </c>
      <c r="K11" s="13">
        <v>0</v>
      </c>
      <c r="L11" s="13">
        <v>0</v>
      </c>
      <c r="M11" s="13">
        <v>0</v>
      </c>
      <c r="N11" s="13">
        <v>0</v>
      </c>
      <c r="O11" s="13">
        <v>0</v>
      </c>
      <c r="P11" s="13">
        <v>0</v>
      </c>
      <c r="Q11" s="13">
        <v>0</v>
      </c>
      <c r="R11" s="13">
        <f t="shared" si="2"/>
        <v>481691.6</v>
      </c>
      <c r="S11" s="8">
        <v>8</v>
      </c>
    </row>
    <row r="12" spans="1:19" x14ac:dyDescent="0.2">
      <c r="C12" s="8">
        <v>505</v>
      </c>
      <c r="D12" s="8" t="s">
        <v>455</v>
      </c>
      <c r="E12" s="13">
        <v>0</v>
      </c>
      <c r="F12" s="13">
        <v>0</v>
      </c>
      <c r="G12" s="13">
        <v>0</v>
      </c>
      <c r="H12" s="13">
        <v>0</v>
      </c>
      <c r="I12" s="13">
        <v>0</v>
      </c>
      <c r="J12" s="13">
        <v>0</v>
      </c>
      <c r="K12" s="13">
        <v>0</v>
      </c>
      <c r="L12" s="13">
        <v>0</v>
      </c>
      <c r="M12" s="13">
        <v>0</v>
      </c>
      <c r="N12" s="13">
        <v>0</v>
      </c>
      <c r="O12" s="13">
        <v>0</v>
      </c>
      <c r="P12" s="13">
        <v>0</v>
      </c>
      <c r="Q12" s="13">
        <v>0</v>
      </c>
      <c r="R12" s="13">
        <f t="shared" si="2"/>
        <v>0</v>
      </c>
      <c r="S12" s="8">
        <v>9</v>
      </c>
    </row>
    <row r="13" spans="1:19" x14ac:dyDescent="0.2">
      <c r="C13" s="8">
        <v>506</v>
      </c>
      <c r="D13" s="8" t="s">
        <v>456</v>
      </c>
      <c r="E13" s="13">
        <v>0</v>
      </c>
      <c r="F13" s="13">
        <v>0</v>
      </c>
      <c r="G13" s="13">
        <v>0</v>
      </c>
      <c r="H13" s="13">
        <v>0</v>
      </c>
      <c r="I13" s="13">
        <v>0</v>
      </c>
      <c r="J13" s="13">
        <v>0</v>
      </c>
      <c r="K13" s="13">
        <v>0</v>
      </c>
      <c r="L13" s="13">
        <v>0</v>
      </c>
      <c r="M13" s="13">
        <v>0</v>
      </c>
      <c r="N13" s="13">
        <v>0</v>
      </c>
      <c r="O13" s="13">
        <v>0</v>
      </c>
      <c r="P13" s="13">
        <v>0</v>
      </c>
      <c r="Q13" s="13">
        <v>0</v>
      </c>
      <c r="R13" s="13">
        <f t="shared" si="2"/>
        <v>0</v>
      </c>
      <c r="S13" s="65">
        <v>10</v>
      </c>
    </row>
    <row r="14" spans="1:19" x14ac:dyDescent="0.2">
      <c r="C14" s="8">
        <v>509</v>
      </c>
      <c r="D14" s="8" t="s">
        <v>457</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5">
        <v>51</v>
      </c>
      <c r="C16" s="85"/>
      <c r="D16" s="85" t="s">
        <v>449</v>
      </c>
      <c r="E16" s="107">
        <f>E17+E18+E19+E20+E21+E22+E23+E24</f>
        <v>0</v>
      </c>
      <c r="F16" s="107">
        <f t="shared" ref="F16:R16" si="3">F17+F18+F19+F20+F21+F22+F23+F24</f>
        <v>0</v>
      </c>
      <c r="G16" s="107">
        <f t="shared" si="3"/>
        <v>0</v>
      </c>
      <c r="H16" s="107">
        <f t="shared" si="3"/>
        <v>0</v>
      </c>
      <c r="I16" s="107">
        <f t="shared" si="3"/>
        <v>0</v>
      </c>
      <c r="J16" s="107">
        <f t="shared" si="3"/>
        <v>0</v>
      </c>
      <c r="K16" s="107">
        <f t="shared" si="3"/>
        <v>0</v>
      </c>
      <c r="L16" s="107">
        <f t="shared" si="3"/>
        <v>0</v>
      </c>
      <c r="M16" s="107">
        <f t="shared" si="3"/>
        <v>0</v>
      </c>
      <c r="N16" s="107">
        <f t="shared" si="3"/>
        <v>0</v>
      </c>
      <c r="O16" s="107">
        <f t="shared" si="3"/>
        <v>0</v>
      </c>
      <c r="P16" s="107">
        <f t="shared" si="3"/>
        <v>0</v>
      </c>
      <c r="Q16" s="107">
        <f t="shared" si="3"/>
        <v>0</v>
      </c>
      <c r="R16" s="107">
        <f t="shared" si="3"/>
        <v>0</v>
      </c>
      <c r="S16" s="65">
        <v>13</v>
      </c>
    </row>
    <row r="17" spans="2:19" x14ac:dyDescent="0.2">
      <c r="C17" s="8">
        <v>510</v>
      </c>
      <c r="D17" s="8" t="s">
        <v>450</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451</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452</v>
      </c>
      <c r="E19" s="13">
        <v>0</v>
      </c>
      <c r="F19" s="13">
        <v>0</v>
      </c>
      <c r="G19" s="13">
        <v>0</v>
      </c>
      <c r="H19" s="13">
        <v>0</v>
      </c>
      <c r="I19" s="13">
        <v>0</v>
      </c>
      <c r="J19" s="13">
        <v>0</v>
      </c>
      <c r="K19" s="13">
        <v>0</v>
      </c>
      <c r="L19" s="13">
        <v>0</v>
      </c>
      <c r="M19" s="13">
        <v>0</v>
      </c>
      <c r="N19" s="13">
        <v>0</v>
      </c>
      <c r="O19" s="13">
        <v>0</v>
      </c>
      <c r="P19" s="13">
        <v>0</v>
      </c>
      <c r="Q19" s="13">
        <v>0</v>
      </c>
      <c r="R19" s="13">
        <f t="shared" si="4"/>
        <v>0</v>
      </c>
      <c r="S19" s="65">
        <v>16</v>
      </c>
    </row>
    <row r="20" spans="2:19" x14ac:dyDescent="0.2">
      <c r="C20" s="8">
        <v>513</v>
      </c>
      <c r="D20" s="8" t="s">
        <v>453</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454</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455</v>
      </c>
      <c r="E22" s="13">
        <v>0</v>
      </c>
      <c r="F22" s="13">
        <v>0</v>
      </c>
      <c r="G22" s="13">
        <v>0</v>
      </c>
      <c r="H22" s="13">
        <v>0</v>
      </c>
      <c r="I22" s="13">
        <v>0</v>
      </c>
      <c r="J22" s="13">
        <v>0</v>
      </c>
      <c r="K22" s="13">
        <v>0</v>
      </c>
      <c r="L22" s="13">
        <v>0</v>
      </c>
      <c r="M22" s="13">
        <v>0</v>
      </c>
      <c r="N22" s="13">
        <v>0</v>
      </c>
      <c r="O22" s="13">
        <v>0</v>
      </c>
      <c r="P22" s="13">
        <v>0</v>
      </c>
      <c r="Q22" s="13">
        <v>0</v>
      </c>
      <c r="R22" s="13">
        <f t="shared" si="4"/>
        <v>0</v>
      </c>
      <c r="S22" s="65">
        <v>19</v>
      </c>
    </row>
    <row r="23" spans="2:19" x14ac:dyDescent="0.2">
      <c r="C23" s="8">
        <v>516</v>
      </c>
      <c r="D23" s="8" t="s">
        <v>456</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457</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5">
        <v>22</v>
      </c>
    </row>
    <row r="26" spans="2:19" ht="15" x14ac:dyDescent="0.25">
      <c r="B26" s="85">
        <v>52</v>
      </c>
      <c r="C26" s="85"/>
      <c r="D26" s="85" t="s">
        <v>458</v>
      </c>
      <c r="E26" s="107">
        <f>E27+E28+E29</f>
        <v>0</v>
      </c>
      <c r="F26" s="107">
        <f t="shared" ref="F26:R26" si="5">F27+F28+F29</f>
        <v>0</v>
      </c>
      <c r="G26" s="107">
        <f t="shared" si="5"/>
        <v>0</v>
      </c>
      <c r="H26" s="107">
        <f t="shared" si="5"/>
        <v>0</v>
      </c>
      <c r="I26" s="107">
        <f t="shared" si="5"/>
        <v>0</v>
      </c>
      <c r="J26" s="107">
        <f t="shared" si="5"/>
        <v>0</v>
      </c>
      <c r="K26" s="107">
        <f t="shared" si="5"/>
        <v>0</v>
      </c>
      <c r="L26" s="107">
        <f t="shared" si="5"/>
        <v>0</v>
      </c>
      <c r="M26" s="107">
        <f t="shared" si="5"/>
        <v>0</v>
      </c>
      <c r="N26" s="107">
        <f t="shared" si="5"/>
        <v>0</v>
      </c>
      <c r="O26" s="107">
        <f t="shared" si="5"/>
        <v>0</v>
      </c>
      <c r="P26" s="107">
        <f t="shared" si="5"/>
        <v>0</v>
      </c>
      <c r="Q26" s="107">
        <f t="shared" si="5"/>
        <v>0</v>
      </c>
      <c r="R26" s="107">
        <f t="shared" si="5"/>
        <v>0</v>
      </c>
      <c r="S26" s="8">
        <v>23</v>
      </c>
    </row>
    <row r="27" spans="2:19" x14ac:dyDescent="0.2">
      <c r="C27" s="8">
        <v>520</v>
      </c>
      <c r="D27" s="8" t="s">
        <v>360</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361</v>
      </c>
      <c r="E28" s="13">
        <v>0</v>
      </c>
      <c r="F28" s="13">
        <v>0</v>
      </c>
      <c r="G28" s="13">
        <v>0</v>
      </c>
      <c r="H28" s="13">
        <v>0</v>
      </c>
      <c r="I28" s="13">
        <v>0</v>
      </c>
      <c r="J28" s="13">
        <v>0</v>
      </c>
      <c r="K28" s="13">
        <v>0</v>
      </c>
      <c r="L28" s="13">
        <v>0</v>
      </c>
      <c r="M28" s="13">
        <v>0</v>
      </c>
      <c r="N28" s="13">
        <v>0</v>
      </c>
      <c r="O28" s="13">
        <v>0</v>
      </c>
      <c r="P28" s="13">
        <v>0</v>
      </c>
      <c r="Q28" s="13">
        <v>0</v>
      </c>
      <c r="R28" s="13">
        <f>SUM(E28:Q28)</f>
        <v>0</v>
      </c>
      <c r="S28" s="65">
        <v>25</v>
      </c>
    </row>
    <row r="29" spans="2:19" x14ac:dyDescent="0.2">
      <c r="C29" s="8">
        <v>529</v>
      </c>
      <c r="D29" s="8" t="s">
        <v>459</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5">
        <v>54</v>
      </c>
      <c r="C31" s="85"/>
      <c r="D31" s="85" t="s">
        <v>246</v>
      </c>
      <c r="E31" s="107">
        <f>E32+E33+E34+E35+E36+E37+E38+E39+E40</f>
        <v>0</v>
      </c>
      <c r="F31" s="107">
        <f t="shared" ref="F31:R31" si="6">F32+F33+F34+F35+F36+F37+F38+F39+F40</f>
        <v>0</v>
      </c>
      <c r="G31" s="107">
        <f t="shared" si="6"/>
        <v>0</v>
      </c>
      <c r="H31" s="107">
        <f t="shared" si="6"/>
        <v>0</v>
      </c>
      <c r="I31" s="107">
        <f t="shared" si="6"/>
        <v>0</v>
      </c>
      <c r="J31" s="107">
        <f t="shared" si="6"/>
        <v>0</v>
      </c>
      <c r="K31" s="107">
        <f t="shared" si="6"/>
        <v>0</v>
      </c>
      <c r="L31" s="107">
        <f t="shared" si="6"/>
        <v>0</v>
      </c>
      <c r="M31" s="107">
        <f t="shared" si="6"/>
        <v>0</v>
      </c>
      <c r="N31" s="107">
        <f t="shared" si="6"/>
        <v>0</v>
      </c>
      <c r="O31" s="107">
        <f t="shared" si="6"/>
        <v>0</v>
      </c>
      <c r="P31" s="107">
        <f t="shared" si="6"/>
        <v>0</v>
      </c>
      <c r="Q31" s="107">
        <f t="shared" si="6"/>
        <v>0</v>
      </c>
      <c r="R31" s="107">
        <f t="shared" si="6"/>
        <v>0</v>
      </c>
      <c r="S31" s="65">
        <v>28</v>
      </c>
    </row>
    <row r="32" spans="2:19" x14ac:dyDescent="0.2">
      <c r="C32" s="8">
        <v>540</v>
      </c>
      <c r="D32" s="8" t="s">
        <v>460</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461</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462</v>
      </c>
      <c r="E34" s="13">
        <v>0</v>
      </c>
      <c r="F34" s="13">
        <v>0</v>
      </c>
      <c r="G34" s="13">
        <v>0</v>
      </c>
      <c r="H34" s="13">
        <v>0</v>
      </c>
      <c r="I34" s="13">
        <v>0</v>
      </c>
      <c r="J34" s="13">
        <v>0</v>
      </c>
      <c r="K34" s="13">
        <v>0</v>
      </c>
      <c r="L34" s="13">
        <v>0</v>
      </c>
      <c r="M34" s="13">
        <v>0</v>
      </c>
      <c r="N34" s="13">
        <v>0</v>
      </c>
      <c r="O34" s="13">
        <v>0</v>
      </c>
      <c r="P34" s="13">
        <v>0</v>
      </c>
      <c r="Q34" s="13">
        <v>0</v>
      </c>
      <c r="R34" s="13">
        <f t="shared" si="7"/>
        <v>0</v>
      </c>
      <c r="S34" s="65">
        <v>31</v>
      </c>
    </row>
    <row r="35" spans="2:19" x14ac:dyDescent="0.2">
      <c r="C35" s="8">
        <v>543</v>
      </c>
      <c r="D35" s="8" t="s">
        <v>463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464</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465</v>
      </c>
      <c r="E37" s="13">
        <v>0</v>
      </c>
      <c r="F37" s="13">
        <v>0</v>
      </c>
      <c r="G37" s="13">
        <v>0</v>
      </c>
      <c r="H37" s="13">
        <v>0</v>
      </c>
      <c r="I37" s="13">
        <v>0</v>
      </c>
      <c r="J37" s="13">
        <v>0</v>
      </c>
      <c r="K37" s="13">
        <v>0</v>
      </c>
      <c r="L37" s="13">
        <v>0</v>
      </c>
      <c r="M37" s="13">
        <v>0</v>
      </c>
      <c r="N37" s="13">
        <v>0</v>
      </c>
      <c r="O37" s="13">
        <v>0</v>
      </c>
      <c r="P37" s="13">
        <v>0</v>
      </c>
      <c r="Q37" s="13">
        <v>0</v>
      </c>
      <c r="R37" s="13">
        <f t="shared" si="7"/>
        <v>0</v>
      </c>
      <c r="S37" s="65">
        <v>34</v>
      </c>
    </row>
    <row r="38" spans="2:19" x14ac:dyDescent="0.2">
      <c r="C38" s="8">
        <v>546</v>
      </c>
      <c r="D38" s="8" t="s">
        <v>466</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467</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468</v>
      </c>
      <c r="E40" s="13">
        <v>0</v>
      </c>
      <c r="F40" s="13">
        <v>0</v>
      </c>
      <c r="G40" s="13">
        <v>0</v>
      </c>
      <c r="H40" s="13">
        <v>0</v>
      </c>
      <c r="I40" s="13">
        <v>0</v>
      </c>
      <c r="J40" s="13">
        <v>0</v>
      </c>
      <c r="K40" s="13">
        <v>0</v>
      </c>
      <c r="L40" s="13">
        <v>0</v>
      </c>
      <c r="M40" s="13">
        <v>0</v>
      </c>
      <c r="N40" s="13">
        <v>0</v>
      </c>
      <c r="O40" s="13">
        <v>0</v>
      </c>
      <c r="P40" s="13">
        <v>0</v>
      </c>
      <c r="Q40" s="13">
        <v>0</v>
      </c>
      <c r="R40" s="13">
        <f t="shared" si="7"/>
        <v>0</v>
      </c>
      <c r="S40" s="65">
        <v>37</v>
      </c>
    </row>
    <row r="41" spans="2:19" x14ac:dyDescent="0.2">
      <c r="E41" s="13"/>
      <c r="F41" s="13"/>
      <c r="G41" s="13"/>
      <c r="H41" s="13"/>
      <c r="I41" s="13"/>
      <c r="J41" s="13"/>
      <c r="K41" s="13"/>
      <c r="L41" s="13"/>
      <c r="M41" s="13"/>
      <c r="N41" s="13"/>
      <c r="O41" s="13"/>
      <c r="P41" s="13"/>
      <c r="Q41" s="13"/>
      <c r="R41" s="13"/>
      <c r="S41" s="8">
        <v>38</v>
      </c>
    </row>
    <row r="42" spans="2:19" ht="15" x14ac:dyDescent="0.25">
      <c r="B42" s="85">
        <v>55</v>
      </c>
      <c r="C42" s="85"/>
      <c r="D42" s="85" t="s">
        <v>373</v>
      </c>
      <c r="E42" s="107">
        <f>E43+E44+E45+E46+E47+E48+E49+E50+E51</f>
        <v>0</v>
      </c>
      <c r="F42" s="107">
        <f t="shared" ref="F42:R42" si="8">F43+F44+F45+F46+F47+F48+F49+F50+F51</f>
        <v>0</v>
      </c>
      <c r="G42" s="107">
        <f t="shared" si="8"/>
        <v>0</v>
      </c>
      <c r="H42" s="107">
        <f t="shared" si="8"/>
        <v>0</v>
      </c>
      <c r="I42" s="107">
        <f t="shared" si="8"/>
        <v>0</v>
      </c>
      <c r="J42" s="107">
        <f t="shared" si="8"/>
        <v>0</v>
      </c>
      <c r="K42" s="107">
        <f t="shared" si="8"/>
        <v>0</v>
      </c>
      <c r="L42" s="107">
        <f t="shared" si="8"/>
        <v>0</v>
      </c>
      <c r="M42" s="107">
        <f t="shared" si="8"/>
        <v>0</v>
      </c>
      <c r="N42" s="107">
        <f t="shared" si="8"/>
        <v>0</v>
      </c>
      <c r="O42" s="107">
        <f t="shared" si="8"/>
        <v>0</v>
      </c>
      <c r="P42" s="107">
        <f t="shared" si="8"/>
        <v>0</v>
      </c>
      <c r="Q42" s="107">
        <f t="shared" si="8"/>
        <v>0</v>
      </c>
      <c r="R42" s="107">
        <f t="shared" si="8"/>
        <v>0</v>
      </c>
      <c r="S42" s="8">
        <v>39</v>
      </c>
    </row>
    <row r="43" spans="2:19" x14ac:dyDescent="0.2">
      <c r="C43" s="8">
        <v>550</v>
      </c>
      <c r="D43" s="8" t="s">
        <v>460</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5">
        <v>40</v>
      </c>
    </row>
    <row r="44" spans="2:19" x14ac:dyDescent="0.2">
      <c r="C44" s="8">
        <v>551</v>
      </c>
      <c r="D44" s="8" t="s">
        <v>461</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462</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463</v>
      </c>
      <c r="E46" s="13">
        <v>0</v>
      </c>
      <c r="F46" s="13">
        <v>0</v>
      </c>
      <c r="G46" s="13">
        <v>0</v>
      </c>
      <c r="H46" s="13">
        <v>0</v>
      </c>
      <c r="I46" s="13">
        <v>0</v>
      </c>
      <c r="J46" s="13">
        <v>0</v>
      </c>
      <c r="K46" s="13">
        <v>0</v>
      </c>
      <c r="L46" s="13">
        <v>0</v>
      </c>
      <c r="M46" s="13">
        <v>0</v>
      </c>
      <c r="N46" s="13">
        <v>0</v>
      </c>
      <c r="O46" s="13">
        <v>0</v>
      </c>
      <c r="P46" s="13">
        <v>0</v>
      </c>
      <c r="Q46" s="13">
        <v>0</v>
      </c>
      <c r="R46" s="13">
        <f t="shared" si="9"/>
        <v>0</v>
      </c>
      <c r="S46" s="65">
        <v>43</v>
      </c>
    </row>
    <row r="47" spans="2:19" x14ac:dyDescent="0.2">
      <c r="C47" s="8">
        <v>554</v>
      </c>
      <c r="D47" s="8" t="s">
        <v>464</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465</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466</v>
      </c>
      <c r="E49" s="13">
        <v>0</v>
      </c>
      <c r="F49" s="13">
        <v>0</v>
      </c>
      <c r="G49" s="13">
        <v>0</v>
      </c>
      <c r="H49" s="13">
        <v>0</v>
      </c>
      <c r="I49" s="13">
        <v>0</v>
      </c>
      <c r="J49" s="13">
        <v>0</v>
      </c>
      <c r="K49" s="13">
        <v>0</v>
      </c>
      <c r="L49" s="13">
        <v>0</v>
      </c>
      <c r="M49" s="13">
        <v>0</v>
      </c>
      <c r="N49" s="13">
        <v>0</v>
      </c>
      <c r="O49" s="13">
        <v>0</v>
      </c>
      <c r="P49" s="13">
        <v>0</v>
      </c>
      <c r="Q49" s="13">
        <v>0</v>
      </c>
      <c r="R49" s="13">
        <f t="shared" si="9"/>
        <v>0</v>
      </c>
      <c r="S49" s="65">
        <v>46</v>
      </c>
    </row>
    <row r="50" spans="2:19" x14ac:dyDescent="0.2">
      <c r="C50" s="8">
        <v>557</v>
      </c>
      <c r="D50" s="8" t="s">
        <v>467</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468</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5">
        <v>49</v>
      </c>
    </row>
    <row r="53" spans="2:19" ht="15" x14ac:dyDescent="0.25">
      <c r="B53" s="85">
        <v>56</v>
      </c>
      <c r="C53" s="85"/>
      <c r="D53" s="85" t="s">
        <v>469</v>
      </c>
      <c r="E53" s="107">
        <f>E54+E55+E56+E57+E58+E59+E60+E61+E62</f>
        <v>0</v>
      </c>
      <c r="F53" s="107">
        <f t="shared" ref="F53:R53" si="10">F54+F55+F56+F57+F58+F59+F60+F61+F62</f>
        <v>0</v>
      </c>
      <c r="G53" s="107">
        <f t="shared" si="10"/>
        <v>0</v>
      </c>
      <c r="H53" s="107">
        <f t="shared" si="10"/>
        <v>0</v>
      </c>
      <c r="I53" s="107">
        <f t="shared" si="10"/>
        <v>0</v>
      </c>
      <c r="J53" s="107">
        <f t="shared" si="10"/>
        <v>0</v>
      </c>
      <c r="K53" s="107">
        <f t="shared" si="10"/>
        <v>0</v>
      </c>
      <c r="L53" s="107">
        <f t="shared" si="10"/>
        <v>0</v>
      </c>
      <c r="M53" s="107">
        <f t="shared" si="10"/>
        <v>0</v>
      </c>
      <c r="N53" s="107">
        <f t="shared" si="10"/>
        <v>0</v>
      </c>
      <c r="O53" s="107">
        <f t="shared" si="10"/>
        <v>0</v>
      </c>
      <c r="P53" s="107">
        <f t="shared" si="10"/>
        <v>0</v>
      </c>
      <c r="Q53" s="107">
        <f t="shared" si="10"/>
        <v>0</v>
      </c>
      <c r="R53" s="107">
        <f t="shared" si="10"/>
        <v>0</v>
      </c>
      <c r="S53" s="8">
        <v>50</v>
      </c>
    </row>
    <row r="54" spans="2:19" x14ac:dyDescent="0.2">
      <c r="C54" s="8">
        <v>560</v>
      </c>
      <c r="D54" s="8" t="s">
        <v>460</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461</v>
      </c>
      <c r="E55" s="13">
        <v>0</v>
      </c>
      <c r="F55" s="13">
        <v>0</v>
      </c>
      <c r="G55" s="13">
        <v>0</v>
      </c>
      <c r="H55" s="13">
        <v>0</v>
      </c>
      <c r="I55" s="13">
        <v>0</v>
      </c>
      <c r="J55" s="13">
        <v>0</v>
      </c>
      <c r="K55" s="13">
        <v>0</v>
      </c>
      <c r="L55" s="13">
        <v>0</v>
      </c>
      <c r="M55" s="13">
        <v>0</v>
      </c>
      <c r="N55" s="13">
        <v>0</v>
      </c>
      <c r="O55" s="13">
        <v>0</v>
      </c>
      <c r="P55" s="13">
        <v>0</v>
      </c>
      <c r="Q55" s="13">
        <v>0</v>
      </c>
      <c r="R55" s="13">
        <f t="shared" si="11"/>
        <v>0</v>
      </c>
      <c r="S55" s="65">
        <v>52</v>
      </c>
    </row>
    <row r="56" spans="2:19" x14ac:dyDescent="0.2">
      <c r="C56" s="8">
        <v>562</v>
      </c>
      <c r="D56" s="8" t="s">
        <v>462</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463</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464</v>
      </c>
      <c r="E58" s="13">
        <v>0</v>
      </c>
      <c r="F58" s="13">
        <v>0</v>
      </c>
      <c r="G58" s="13">
        <v>0</v>
      </c>
      <c r="H58" s="13">
        <v>0</v>
      </c>
      <c r="I58" s="13">
        <v>0</v>
      </c>
      <c r="J58" s="13">
        <v>0</v>
      </c>
      <c r="K58" s="13">
        <v>0</v>
      </c>
      <c r="L58" s="13">
        <v>0</v>
      </c>
      <c r="M58" s="13">
        <v>0</v>
      </c>
      <c r="N58" s="13">
        <v>0</v>
      </c>
      <c r="O58" s="13">
        <v>0</v>
      </c>
      <c r="P58" s="13">
        <v>0</v>
      </c>
      <c r="Q58" s="13">
        <v>0</v>
      </c>
      <c r="R58" s="13">
        <f t="shared" si="11"/>
        <v>0</v>
      </c>
      <c r="S58" s="65">
        <v>55</v>
      </c>
    </row>
    <row r="59" spans="2:19" x14ac:dyDescent="0.2">
      <c r="C59" s="8">
        <v>565</v>
      </c>
      <c r="D59" s="8" t="s">
        <v>465</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466</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467</v>
      </c>
      <c r="E61" s="13">
        <v>0</v>
      </c>
      <c r="F61" s="13">
        <v>0</v>
      </c>
      <c r="G61" s="13">
        <v>0</v>
      </c>
      <c r="H61" s="13">
        <v>0</v>
      </c>
      <c r="I61" s="13">
        <v>0</v>
      </c>
      <c r="J61" s="13">
        <v>0</v>
      </c>
      <c r="K61" s="13">
        <v>0</v>
      </c>
      <c r="L61" s="13">
        <v>0</v>
      </c>
      <c r="M61" s="13">
        <v>0</v>
      </c>
      <c r="N61" s="13">
        <v>0</v>
      </c>
      <c r="O61" s="13">
        <v>0</v>
      </c>
      <c r="P61" s="13">
        <v>0</v>
      </c>
      <c r="Q61" s="13">
        <v>0</v>
      </c>
      <c r="R61" s="13">
        <f t="shared" si="11"/>
        <v>0</v>
      </c>
      <c r="S61" s="65">
        <v>58</v>
      </c>
    </row>
    <row r="62" spans="2:19" x14ac:dyDescent="0.2">
      <c r="C62" s="8">
        <v>568</v>
      </c>
      <c r="D62" s="8" t="s">
        <v>468</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5">
        <v>57</v>
      </c>
      <c r="C64" s="85"/>
      <c r="D64" s="85" t="s">
        <v>470</v>
      </c>
      <c r="E64" s="107">
        <f>E65+E66+E67+E68+E69+E70+E71+E72+E73</f>
        <v>0</v>
      </c>
      <c r="F64" s="107">
        <f t="shared" ref="F64:R64" si="12">F65+F66+F67+F68+F69+F70+F71+F72+F73</f>
        <v>0</v>
      </c>
      <c r="G64" s="107">
        <f t="shared" si="12"/>
        <v>0</v>
      </c>
      <c r="H64" s="107">
        <f t="shared" si="12"/>
        <v>0</v>
      </c>
      <c r="I64" s="107">
        <f t="shared" si="12"/>
        <v>0</v>
      </c>
      <c r="J64" s="107">
        <f t="shared" si="12"/>
        <v>0</v>
      </c>
      <c r="K64" s="107">
        <f t="shared" si="12"/>
        <v>0</v>
      </c>
      <c r="L64" s="107">
        <f t="shared" si="12"/>
        <v>0</v>
      </c>
      <c r="M64" s="107">
        <f t="shared" si="12"/>
        <v>0</v>
      </c>
      <c r="N64" s="107">
        <f t="shared" si="12"/>
        <v>0</v>
      </c>
      <c r="O64" s="107">
        <f t="shared" si="12"/>
        <v>0</v>
      </c>
      <c r="P64" s="107">
        <f t="shared" si="12"/>
        <v>0</v>
      </c>
      <c r="Q64" s="107">
        <f t="shared" si="12"/>
        <v>0</v>
      </c>
      <c r="R64" s="107">
        <f t="shared" si="12"/>
        <v>0</v>
      </c>
      <c r="S64" s="65">
        <v>61</v>
      </c>
    </row>
    <row r="65" spans="2:19" x14ac:dyDescent="0.2">
      <c r="C65" s="8">
        <v>570</v>
      </c>
      <c r="D65" s="8" t="s">
        <v>460</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461</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462</v>
      </c>
      <c r="E67" s="13">
        <v>0</v>
      </c>
      <c r="F67" s="13">
        <v>0</v>
      </c>
      <c r="G67" s="13">
        <v>0</v>
      </c>
      <c r="H67" s="13">
        <v>0</v>
      </c>
      <c r="I67" s="13">
        <v>0</v>
      </c>
      <c r="J67" s="13">
        <v>0</v>
      </c>
      <c r="K67" s="13">
        <v>0</v>
      </c>
      <c r="L67" s="13">
        <v>0</v>
      </c>
      <c r="M67" s="13">
        <v>0</v>
      </c>
      <c r="N67" s="13">
        <v>0</v>
      </c>
      <c r="O67" s="13">
        <v>0</v>
      </c>
      <c r="P67" s="13">
        <v>0</v>
      </c>
      <c r="Q67" s="13">
        <v>0</v>
      </c>
      <c r="R67" s="13">
        <f t="shared" si="13"/>
        <v>0</v>
      </c>
      <c r="S67" s="65">
        <v>64</v>
      </c>
    </row>
    <row r="68" spans="2:19" x14ac:dyDescent="0.2">
      <c r="C68" s="8">
        <v>573</v>
      </c>
      <c r="D68" s="8" t="s">
        <v>463</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464</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465</v>
      </c>
      <c r="E70" s="13">
        <v>0</v>
      </c>
      <c r="F70" s="13">
        <v>0</v>
      </c>
      <c r="G70" s="13">
        <v>0</v>
      </c>
      <c r="H70" s="13">
        <v>0</v>
      </c>
      <c r="I70" s="13">
        <v>0</v>
      </c>
      <c r="J70" s="13">
        <v>0</v>
      </c>
      <c r="K70" s="13">
        <v>0</v>
      </c>
      <c r="L70" s="13">
        <v>0</v>
      </c>
      <c r="M70" s="13">
        <v>0</v>
      </c>
      <c r="N70" s="13">
        <v>0</v>
      </c>
      <c r="O70" s="13">
        <v>0</v>
      </c>
      <c r="P70" s="13">
        <v>0</v>
      </c>
      <c r="Q70" s="13">
        <v>0</v>
      </c>
      <c r="R70" s="13">
        <f t="shared" si="13"/>
        <v>0</v>
      </c>
      <c r="S70" s="65">
        <v>67</v>
      </c>
    </row>
    <row r="71" spans="2:19" x14ac:dyDescent="0.2">
      <c r="C71" s="8">
        <v>576</v>
      </c>
      <c r="D71" s="8" t="s">
        <v>466</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467</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468</v>
      </c>
      <c r="E73" s="13">
        <v>0</v>
      </c>
      <c r="F73" s="13">
        <v>0</v>
      </c>
      <c r="G73" s="13">
        <v>0</v>
      </c>
      <c r="H73" s="13">
        <v>0</v>
      </c>
      <c r="I73" s="13">
        <v>0</v>
      </c>
      <c r="J73" s="13">
        <v>0</v>
      </c>
      <c r="K73" s="13">
        <v>0</v>
      </c>
      <c r="L73" s="13">
        <v>0</v>
      </c>
      <c r="M73" s="13">
        <v>0</v>
      </c>
      <c r="N73" s="13">
        <v>0</v>
      </c>
      <c r="O73" s="13">
        <v>0</v>
      </c>
      <c r="P73" s="13">
        <v>0</v>
      </c>
      <c r="Q73" s="13">
        <v>0</v>
      </c>
      <c r="R73" s="13">
        <f t="shared" si="13"/>
        <v>0</v>
      </c>
      <c r="S73" s="65">
        <v>70</v>
      </c>
    </row>
    <row r="74" spans="2:19" x14ac:dyDescent="0.2">
      <c r="E74" s="13"/>
      <c r="F74" s="13"/>
      <c r="G74" s="13"/>
      <c r="H74" s="13"/>
      <c r="I74" s="13"/>
      <c r="J74" s="13"/>
      <c r="K74" s="13"/>
      <c r="L74" s="13"/>
      <c r="M74" s="13"/>
      <c r="N74" s="13"/>
      <c r="O74" s="13"/>
      <c r="P74" s="13"/>
      <c r="Q74" s="13"/>
      <c r="R74" s="13"/>
      <c r="S74" s="8">
        <v>71</v>
      </c>
    </row>
    <row r="75" spans="2:19" ht="15" x14ac:dyDescent="0.25">
      <c r="B75" s="85">
        <v>58</v>
      </c>
      <c r="C75" s="85"/>
      <c r="D75" s="85" t="s">
        <v>471</v>
      </c>
      <c r="E75" s="107">
        <f>E76+E77+E78+E79+E80+E81</f>
        <v>0</v>
      </c>
      <c r="F75" s="107">
        <f t="shared" ref="F75:R75" si="14">F76+F77+F78+F79+F80+F81</f>
        <v>0</v>
      </c>
      <c r="G75" s="107">
        <f t="shared" si="14"/>
        <v>0</v>
      </c>
      <c r="H75" s="107">
        <f t="shared" si="14"/>
        <v>0</v>
      </c>
      <c r="I75" s="107">
        <f t="shared" si="14"/>
        <v>0</v>
      </c>
      <c r="J75" s="107">
        <f t="shared" si="14"/>
        <v>0</v>
      </c>
      <c r="K75" s="107">
        <f t="shared" si="14"/>
        <v>0</v>
      </c>
      <c r="L75" s="107">
        <f t="shared" si="14"/>
        <v>0</v>
      </c>
      <c r="M75" s="107">
        <f t="shared" si="14"/>
        <v>0</v>
      </c>
      <c r="N75" s="107">
        <f t="shared" si="14"/>
        <v>0</v>
      </c>
      <c r="O75" s="107">
        <f t="shared" si="14"/>
        <v>0</v>
      </c>
      <c r="P75" s="107">
        <f t="shared" si="14"/>
        <v>0</v>
      </c>
      <c r="Q75" s="107">
        <f t="shared" si="14"/>
        <v>0</v>
      </c>
      <c r="R75" s="107">
        <f t="shared" si="14"/>
        <v>0</v>
      </c>
      <c r="S75" s="8">
        <v>72</v>
      </c>
    </row>
    <row r="76" spans="2:19" x14ac:dyDescent="0.2">
      <c r="C76" s="8">
        <v>580</v>
      </c>
      <c r="D76" s="8" t="s">
        <v>448</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5">
        <v>73</v>
      </c>
    </row>
    <row r="77" spans="2:19" x14ac:dyDescent="0.2">
      <c r="C77" s="8">
        <v>582</v>
      </c>
      <c r="D77" s="8" t="s">
        <v>458</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246</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373</v>
      </c>
      <c r="E79" s="13">
        <v>0</v>
      </c>
      <c r="F79" s="13">
        <v>0</v>
      </c>
      <c r="G79" s="13">
        <v>0</v>
      </c>
      <c r="H79" s="13">
        <v>0</v>
      </c>
      <c r="I79" s="13">
        <v>0</v>
      </c>
      <c r="J79" s="13">
        <v>0</v>
      </c>
      <c r="K79" s="13">
        <v>0</v>
      </c>
      <c r="L79" s="13">
        <v>0</v>
      </c>
      <c r="M79" s="13">
        <v>0</v>
      </c>
      <c r="N79" s="13">
        <v>0</v>
      </c>
      <c r="O79" s="13">
        <v>0</v>
      </c>
      <c r="P79" s="13">
        <v>0</v>
      </c>
      <c r="Q79" s="13">
        <v>0</v>
      </c>
      <c r="R79" s="13">
        <f t="shared" si="15"/>
        <v>0</v>
      </c>
      <c r="S79" s="65">
        <v>76</v>
      </c>
    </row>
    <row r="80" spans="2:19" x14ac:dyDescent="0.2">
      <c r="C80" s="8">
        <v>586</v>
      </c>
      <c r="D80" s="8" t="s">
        <v>472</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473</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5">
        <v>79</v>
      </c>
    </row>
    <row r="83" spans="1:19" ht="15" x14ac:dyDescent="0.25">
      <c r="B83" s="85">
        <v>59</v>
      </c>
      <c r="C83" s="85"/>
      <c r="D83" s="85" t="s">
        <v>474</v>
      </c>
      <c r="E83" s="107">
        <f>E84</f>
        <v>0</v>
      </c>
      <c r="F83" s="107">
        <f t="shared" ref="F83:R83" si="16">F84</f>
        <v>0</v>
      </c>
      <c r="G83" s="107">
        <f t="shared" si="16"/>
        <v>0</v>
      </c>
      <c r="H83" s="107">
        <f t="shared" si="16"/>
        <v>0</v>
      </c>
      <c r="I83" s="107">
        <f t="shared" si="16"/>
        <v>42353</v>
      </c>
      <c r="J83" s="107">
        <f t="shared" si="16"/>
        <v>0</v>
      </c>
      <c r="K83" s="107">
        <f t="shared" si="16"/>
        <v>0</v>
      </c>
      <c r="L83" s="107">
        <f t="shared" si="16"/>
        <v>0</v>
      </c>
      <c r="M83" s="107">
        <f t="shared" si="16"/>
        <v>0</v>
      </c>
      <c r="N83" s="107">
        <f t="shared" si="16"/>
        <v>0</v>
      </c>
      <c r="O83" s="107">
        <f t="shared" si="16"/>
        <v>0</v>
      </c>
      <c r="P83" s="107">
        <f t="shared" si="16"/>
        <v>0</v>
      </c>
      <c r="Q83" s="107">
        <f t="shared" si="16"/>
        <v>0</v>
      </c>
      <c r="R83" s="107">
        <f t="shared" si="16"/>
        <v>42353</v>
      </c>
      <c r="S83" s="8">
        <v>80</v>
      </c>
    </row>
    <row r="84" spans="1:19" x14ac:dyDescent="0.2">
      <c r="C84" s="8">
        <v>590</v>
      </c>
      <c r="D84" s="8" t="s">
        <v>474</v>
      </c>
      <c r="E84" s="13">
        <v>0</v>
      </c>
      <c r="F84" s="13">
        <v>0</v>
      </c>
      <c r="G84" s="13">
        <v>0</v>
      </c>
      <c r="H84" s="13">
        <v>0</v>
      </c>
      <c r="I84" s="13">
        <v>42353</v>
      </c>
      <c r="J84" s="13">
        <v>0</v>
      </c>
      <c r="K84" s="13">
        <v>0</v>
      </c>
      <c r="L84" s="13">
        <v>0</v>
      </c>
      <c r="M84" s="13">
        <v>0</v>
      </c>
      <c r="N84" s="13">
        <v>0</v>
      </c>
      <c r="O84" s="13">
        <v>0</v>
      </c>
      <c r="P84" s="13">
        <v>0</v>
      </c>
      <c r="Q84" s="13">
        <v>0</v>
      </c>
      <c r="R84" s="13">
        <f>SUM(E84:Q84)</f>
        <v>42353</v>
      </c>
      <c r="S84" s="8">
        <v>81</v>
      </c>
    </row>
    <row r="85" spans="1:19" x14ac:dyDescent="0.2">
      <c r="E85" s="13"/>
      <c r="F85" s="13"/>
      <c r="G85" s="13"/>
      <c r="H85" s="13"/>
      <c r="I85" s="13"/>
      <c r="J85" s="13"/>
      <c r="K85" s="13"/>
      <c r="L85" s="13"/>
      <c r="M85" s="13"/>
      <c r="N85" s="13"/>
      <c r="O85" s="13"/>
      <c r="P85" s="13"/>
      <c r="Q85" s="13"/>
      <c r="R85" s="13"/>
      <c r="S85" s="65">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2">
        <v>6</v>
      </c>
      <c r="B88" s="142"/>
      <c r="C88" s="142"/>
      <c r="D88" s="142" t="s">
        <v>475</v>
      </c>
      <c r="E88" s="76">
        <f>E89+E99+E109+E114+E125+E136+E147+E158+E169</f>
        <v>0</v>
      </c>
      <c r="F88" s="76">
        <f t="shared" ref="F88:R88" si="17">F89+F99+F109+F114+F125+F136+F147+F158+F169</f>
        <v>0</v>
      </c>
      <c r="G88" s="76">
        <f t="shared" si="17"/>
        <v>0</v>
      </c>
      <c r="H88" s="76">
        <f t="shared" si="17"/>
        <v>0</v>
      </c>
      <c r="I88" s="76">
        <f t="shared" si="17"/>
        <v>42353</v>
      </c>
      <c r="J88" s="76">
        <f t="shared" si="17"/>
        <v>0</v>
      </c>
      <c r="K88" s="76">
        <f t="shared" si="17"/>
        <v>0</v>
      </c>
      <c r="L88" s="76">
        <f t="shared" si="17"/>
        <v>0</v>
      </c>
      <c r="M88" s="76">
        <f t="shared" si="17"/>
        <v>0</v>
      </c>
      <c r="N88" s="76">
        <f t="shared" si="17"/>
        <v>0</v>
      </c>
      <c r="O88" s="76">
        <f t="shared" si="17"/>
        <v>0</v>
      </c>
      <c r="P88" s="76">
        <f t="shared" si="17"/>
        <v>0</v>
      </c>
      <c r="Q88" s="76">
        <f t="shared" si="17"/>
        <v>0</v>
      </c>
      <c r="R88" s="76">
        <f t="shared" si="17"/>
        <v>42353</v>
      </c>
      <c r="S88" s="65">
        <v>85</v>
      </c>
    </row>
    <row r="89" spans="1:19" ht="15" x14ac:dyDescent="0.25">
      <c r="A89" s="7"/>
      <c r="B89" s="143">
        <v>60</v>
      </c>
      <c r="C89" s="143"/>
      <c r="D89" s="143" t="s">
        <v>476</v>
      </c>
      <c r="E89" s="144">
        <f>E90+E91+E92+E93+E94+E95+E96+E97</f>
        <v>0</v>
      </c>
      <c r="F89" s="144">
        <f t="shared" ref="F89:R89" si="18">F90+F91+F92+F93+F94+F95+F96+F97</f>
        <v>0</v>
      </c>
      <c r="G89" s="144">
        <f t="shared" si="18"/>
        <v>0</v>
      </c>
      <c r="H89" s="144">
        <f t="shared" si="18"/>
        <v>0</v>
      </c>
      <c r="I89" s="144">
        <f t="shared" si="18"/>
        <v>0</v>
      </c>
      <c r="J89" s="144">
        <f t="shared" si="18"/>
        <v>0</v>
      </c>
      <c r="K89" s="144">
        <f t="shared" si="18"/>
        <v>0</v>
      </c>
      <c r="L89" s="144">
        <f t="shared" si="18"/>
        <v>0</v>
      </c>
      <c r="M89" s="144">
        <f t="shared" si="18"/>
        <v>0</v>
      </c>
      <c r="N89" s="144">
        <f t="shared" si="18"/>
        <v>0</v>
      </c>
      <c r="O89" s="144">
        <f t="shared" si="18"/>
        <v>0</v>
      </c>
      <c r="P89" s="144">
        <f t="shared" si="18"/>
        <v>0</v>
      </c>
      <c r="Q89" s="144">
        <f t="shared" si="18"/>
        <v>0</v>
      </c>
      <c r="R89" s="144">
        <f t="shared" si="18"/>
        <v>0</v>
      </c>
      <c r="S89" s="8">
        <v>86</v>
      </c>
    </row>
    <row r="90" spans="1:19" x14ac:dyDescent="0.2">
      <c r="C90" s="8">
        <v>600</v>
      </c>
      <c r="D90" s="8" t="s">
        <v>450</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451</v>
      </c>
      <c r="E91" s="13">
        <v>0</v>
      </c>
      <c r="F91" s="13">
        <v>0</v>
      </c>
      <c r="G91" s="13">
        <v>0</v>
      </c>
      <c r="H91" s="13">
        <v>0</v>
      </c>
      <c r="I91" s="13">
        <v>0</v>
      </c>
      <c r="J91" s="13">
        <v>0</v>
      </c>
      <c r="K91" s="13">
        <v>0</v>
      </c>
      <c r="L91" s="13">
        <v>0</v>
      </c>
      <c r="M91" s="13">
        <v>0</v>
      </c>
      <c r="N91" s="13">
        <v>0</v>
      </c>
      <c r="O91" s="13">
        <v>0</v>
      </c>
      <c r="P91" s="13">
        <v>0</v>
      </c>
      <c r="Q91" s="13">
        <v>0</v>
      </c>
      <c r="R91" s="13">
        <f t="shared" si="19"/>
        <v>0</v>
      </c>
      <c r="S91" s="65">
        <v>88</v>
      </c>
    </row>
    <row r="92" spans="1:19" x14ac:dyDescent="0.2">
      <c r="C92" s="8">
        <v>602</v>
      </c>
      <c r="D92" s="8" t="s">
        <v>452</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453</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454</v>
      </c>
      <c r="E94" s="13">
        <v>0</v>
      </c>
      <c r="F94" s="13">
        <v>0</v>
      </c>
      <c r="G94" s="13">
        <v>0</v>
      </c>
      <c r="H94" s="13">
        <v>0</v>
      </c>
      <c r="I94" s="13">
        <v>0</v>
      </c>
      <c r="J94" s="13">
        <v>0</v>
      </c>
      <c r="K94" s="13">
        <v>0</v>
      </c>
      <c r="L94" s="13">
        <v>0</v>
      </c>
      <c r="M94" s="13">
        <v>0</v>
      </c>
      <c r="N94" s="13">
        <v>0</v>
      </c>
      <c r="O94" s="13">
        <v>0</v>
      </c>
      <c r="P94" s="13">
        <v>0</v>
      </c>
      <c r="Q94" s="13">
        <v>0</v>
      </c>
      <c r="R94" s="13">
        <f t="shared" si="19"/>
        <v>0</v>
      </c>
      <c r="S94" s="65">
        <v>91</v>
      </c>
    </row>
    <row r="95" spans="1:19" x14ac:dyDescent="0.2">
      <c r="C95" s="8">
        <v>605</v>
      </c>
      <c r="D95" s="8" t="s">
        <v>455</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456</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457</v>
      </c>
      <c r="E97" s="13">
        <v>0</v>
      </c>
      <c r="F97" s="13">
        <v>0</v>
      </c>
      <c r="G97" s="13">
        <v>0</v>
      </c>
      <c r="H97" s="13">
        <v>0</v>
      </c>
      <c r="I97" s="13">
        <v>0</v>
      </c>
      <c r="J97" s="13">
        <v>0</v>
      </c>
      <c r="K97" s="13">
        <v>0</v>
      </c>
      <c r="L97" s="13">
        <v>0</v>
      </c>
      <c r="M97" s="13">
        <v>0</v>
      </c>
      <c r="N97" s="13">
        <v>0</v>
      </c>
      <c r="O97" s="13">
        <v>0</v>
      </c>
      <c r="P97" s="13">
        <v>0</v>
      </c>
      <c r="Q97" s="13">
        <v>0</v>
      </c>
      <c r="R97" s="13">
        <f t="shared" si="19"/>
        <v>0</v>
      </c>
      <c r="S97" s="65">
        <v>94</v>
      </c>
    </row>
    <row r="98" spans="2:19" x14ac:dyDescent="0.2">
      <c r="E98" s="13"/>
      <c r="F98" s="13"/>
      <c r="G98" s="13"/>
      <c r="H98" s="13"/>
      <c r="I98" s="13"/>
      <c r="J98" s="13"/>
      <c r="K98" s="13"/>
      <c r="L98" s="13"/>
      <c r="M98" s="13"/>
      <c r="N98" s="13"/>
      <c r="O98" s="13"/>
      <c r="P98" s="13"/>
      <c r="Q98" s="13"/>
      <c r="R98" s="13"/>
      <c r="S98" s="8">
        <v>95</v>
      </c>
    </row>
    <row r="99" spans="2:19" ht="15" x14ac:dyDescent="0.25">
      <c r="B99" s="143">
        <v>61</v>
      </c>
      <c r="C99" s="143"/>
      <c r="D99" s="143" t="s">
        <v>477</v>
      </c>
      <c r="E99" s="144">
        <f>E100+E101+E102+E103+E104+E105+E106+E107</f>
        <v>0</v>
      </c>
      <c r="F99" s="144">
        <f t="shared" ref="F99:R99" si="20">F100+F101+F102+F103+F104+F105+F106+F107</f>
        <v>0</v>
      </c>
      <c r="G99" s="144">
        <f t="shared" si="20"/>
        <v>0</v>
      </c>
      <c r="H99" s="144">
        <f t="shared" si="20"/>
        <v>0</v>
      </c>
      <c r="I99" s="144">
        <f t="shared" si="20"/>
        <v>0</v>
      </c>
      <c r="J99" s="144">
        <f t="shared" si="20"/>
        <v>0</v>
      </c>
      <c r="K99" s="144">
        <f t="shared" si="20"/>
        <v>0</v>
      </c>
      <c r="L99" s="144">
        <f t="shared" si="20"/>
        <v>0</v>
      </c>
      <c r="M99" s="144">
        <f t="shared" si="20"/>
        <v>0</v>
      </c>
      <c r="N99" s="144">
        <f t="shared" si="20"/>
        <v>0</v>
      </c>
      <c r="O99" s="144">
        <f t="shared" si="20"/>
        <v>0</v>
      </c>
      <c r="P99" s="144">
        <f t="shared" si="20"/>
        <v>0</v>
      </c>
      <c r="Q99" s="144">
        <f t="shared" si="20"/>
        <v>0</v>
      </c>
      <c r="R99" s="144">
        <f t="shared" si="20"/>
        <v>0</v>
      </c>
      <c r="S99" s="8">
        <v>96</v>
      </c>
    </row>
    <row r="100" spans="2:19" x14ac:dyDescent="0.2">
      <c r="C100" s="8">
        <v>610</v>
      </c>
      <c r="D100" s="8" t="s">
        <v>450</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5">
        <v>97</v>
      </c>
    </row>
    <row r="101" spans="2:19" x14ac:dyDescent="0.2">
      <c r="C101" s="8">
        <v>611</v>
      </c>
      <c r="D101" s="8" t="s">
        <v>451</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452</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453</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5">
        <v>100</v>
      </c>
    </row>
    <row r="104" spans="2:19" x14ac:dyDescent="0.2">
      <c r="C104" s="8">
        <v>614</v>
      </c>
      <c r="D104" s="8" t="s">
        <v>454</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455</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456</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5">
        <v>103</v>
      </c>
    </row>
    <row r="107" spans="2:19" x14ac:dyDescent="0.2">
      <c r="C107" s="8">
        <v>619</v>
      </c>
      <c r="D107" s="8" t="s">
        <v>457</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3">
        <v>62</v>
      </c>
      <c r="C109" s="143"/>
      <c r="D109" s="143" t="s">
        <v>478</v>
      </c>
      <c r="E109" s="144">
        <f>E110+E111+E112</f>
        <v>0</v>
      </c>
      <c r="F109" s="144">
        <f t="shared" ref="F109:R109" si="22">F110+F111+F112</f>
        <v>0</v>
      </c>
      <c r="G109" s="144">
        <f t="shared" si="22"/>
        <v>0</v>
      </c>
      <c r="H109" s="144">
        <f t="shared" si="22"/>
        <v>0</v>
      </c>
      <c r="I109" s="144">
        <f t="shared" si="22"/>
        <v>0</v>
      </c>
      <c r="J109" s="144">
        <f t="shared" si="22"/>
        <v>0</v>
      </c>
      <c r="K109" s="144">
        <f t="shared" si="22"/>
        <v>0</v>
      </c>
      <c r="L109" s="144">
        <f t="shared" si="22"/>
        <v>0</v>
      </c>
      <c r="M109" s="144">
        <f t="shared" si="22"/>
        <v>0</v>
      </c>
      <c r="N109" s="144">
        <f t="shared" si="22"/>
        <v>0</v>
      </c>
      <c r="O109" s="144">
        <f t="shared" si="22"/>
        <v>0</v>
      </c>
      <c r="P109" s="144">
        <f t="shared" si="22"/>
        <v>0</v>
      </c>
      <c r="Q109" s="144">
        <f t="shared" si="22"/>
        <v>0</v>
      </c>
      <c r="R109" s="144">
        <f t="shared" si="22"/>
        <v>0</v>
      </c>
      <c r="S109" s="65">
        <v>106</v>
      </c>
    </row>
    <row r="110" spans="2:19" x14ac:dyDescent="0.2">
      <c r="C110" s="8">
        <v>620</v>
      </c>
      <c r="D110" s="8" t="s">
        <v>360</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361</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459</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5">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3">
        <v>63</v>
      </c>
      <c r="C114" s="143"/>
      <c r="D114" s="143" t="s">
        <v>721</v>
      </c>
      <c r="E114" s="144">
        <f>E115+E116+E117+E118+E119+E120+E121+E122+E123</f>
        <v>0</v>
      </c>
      <c r="F114" s="144">
        <f t="shared" ref="F114:R114" si="23">F115+F116+F117+F118+F119+F120+F121+F122+F123</f>
        <v>0</v>
      </c>
      <c r="G114" s="144">
        <f t="shared" si="23"/>
        <v>0</v>
      </c>
      <c r="H114" s="144">
        <f t="shared" si="23"/>
        <v>0</v>
      </c>
      <c r="I114" s="144">
        <f t="shared" si="23"/>
        <v>42353</v>
      </c>
      <c r="J114" s="144">
        <f t="shared" si="23"/>
        <v>0</v>
      </c>
      <c r="K114" s="144">
        <f t="shared" si="23"/>
        <v>0</v>
      </c>
      <c r="L114" s="144">
        <f t="shared" si="23"/>
        <v>0</v>
      </c>
      <c r="M114" s="144">
        <f>M115+M116+M117+M118+M119+M120+M121+M122+M123</f>
        <v>0</v>
      </c>
      <c r="N114" s="144">
        <f t="shared" si="23"/>
        <v>0</v>
      </c>
      <c r="O114" s="144">
        <f t="shared" si="23"/>
        <v>0</v>
      </c>
      <c r="P114" s="144">
        <f t="shared" si="23"/>
        <v>0</v>
      </c>
      <c r="Q114" s="144">
        <f t="shared" si="23"/>
        <v>0</v>
      </c>
      <c r="R114" s="144">
        <f t="shared" si="23"/>
        <v>42353</v>
      </c>
      <c r="S114" s="8">
        <v>111</v>
      </c>
    </row>
    <row r="115" spans="2:19" x14ac:dyDescent="0.2">
      <c r="C115" s="8">
        <v>630</v>
      </c>
      <c r="D115" s="8" t="s">
        <v>460</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5">
        <v>112</v>
      </c>
    </row>
    <row r="116" spans="2:19" x14ac:dyDescent="0.2">
      <c r="C116" s="8">
        <v>631</v>
      </c>
      <c r="D116" s="8" t="s">
        <v>461</v>
      </c>
      <c r="E116" s="13">
        <v>0</v>
      </c>
      <c r="F116" s="13">
        <v>0</v>
      </c>
      <c r="G116" s="13">
        <v>0</v>
      </c>
      <c r="H116" s="13">
        <v>0</v>
      </c>
      <c r="I116" s="13">
        <v>33532</v>
      </c>
      <c r="J116" s="13">
        <v>0</v>
      </c>
      <c r="K116" s="13">
        <v>0</v>
      </c>
      <c r="L116" s="13">
        <v>0</v>
      </c>
      <c r="M116" s="13">
        <v>0</v>
      </c>
      <c r="N116" s="13">
        <v>0</v>
      </c>
      <c r="O116" s="13">
        <v>0</v>
      </c>
      <c r="P116" s="13">
        <v>0</v>
      </c>
      <c r="Q116" s="13">
        <v>0</v>
      </c>
      <c r="R116" s="13">
        <f t="shared" si="24"/>
        <v>33532</v>
      </c>
      <c r="S116" s="8">
        <v>113</v>
      </c>
    </row>
    <row r="117" spans="2:19" x14ac:dyDescent="0.2">
      <c r="C117" s="8">
        <v>632</v>
      </c>
      <c r="D117" s="8" t="s">
        <v>462</v>
      </c>
      <c r="E117" s="13">
        <v>0</v>
      </c>
      <c r="F117" s="13">
        <v>0</v>
      </c>
      <c r="G117" s="13">
        <v>0</v>
      </c>
      <c r="H117" s="13">
        <v>0</v>
      </c>
      <c r="I117" s="13">
        <v>8821</v>
      </c>
      <c r="J117" s="13">
        <v>0</v>
      </c>
      <c r="K117" s="13">
        <v>0</v>
      </c>
      <c r="L117" s="13">
        <v>0</v>
      </c>
      <c r="M117" s="13">
        <v>0</v>
      </c>
      <c r="N117" s="13">
        <v>0</v>
      </c>
      <c r="O117" s="13">
        <v>0</v>
      </c>
      <c r="P117" s="13">
        <v>0</v>
      </c>
      <c r="Q117" s="13">
        <v>0</v>
      </c>
      <c r="R117" s="13">
        <f t="shared" si="24"/>
        <v>8821</v>
      </c>
      <c r="S117" s="8">
        <v>114</v>
      </c>
    </row>
    <row r="118" spans="2:19" x14ac:dyDescent="0.2">
      <c r="C118" s="8">
        <v>633</v>
      </c>
      <c r="D118" s="8" t="s">
        <v>463</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5">
        <v>115</v>
      </c>
    </row>
    <row r="119" spans="2:19" x14ac:dyDescent="0.2">
      <c r="C119" s="8">
        <v>634</v>
      </c>
      <c r="D119" s="8" t="s">
        <v>464</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465</v>
      </c>
      <c r="E120" s="13">
        <v>0</v>
      </c>
      <c r="F120" s="13">
        <v>0</v>
      </c>
      <c r="G120" s="13">
        <v>0</v>
      </c>
      <c r="H120" s="13">
        <v>0</v>
      </c>
      <c r="I120" s="13">
        <v>0</v>
      </c>
      <c r="J120" s="13">
        <v>0</v>
      </c>
      <c r="K120" s="13">
        <v>0</v>
      </c>
      <c r="L120" s="13">
        <v>0</v>
      </c>
      <c r="M120" s="13">
        <v>0</v>
      </c>
      <c r="N120" s="13">
        <v>0</v>
      </c>
      <c r="O120" s="13">
        <v>0</v>
      </c>
      <c r="P120" s="13">
        <v>0</v>
      </c>
      <c r="Q120" s="13">
        <v>0</v>
      </c>
      <c r="R120" s="13">
        <f t="shared" si="24"/>
        <v>0</v>
      </c>
      <c r="S120" s="8">
        <v>117</v>
      </c>
    </row>
    <row r="121" spans="2:19" x14ac:dyDescent="0.2">
      <c r="C121" s="8">
        <v>636</v>
      </c>
      <c r="D121" s="8" t="s">
        <v>466</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5">
        <v>118</v>
      </c>
    </row>
    <row r="122" spans="2:19" x14ac:dyDescent="0.2">
      <c r="C122" s="8">
        <v>637</v>
      </c>
      <c r="D122" s="8" t="s">
        <v>467</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468</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5">
        <v>121</v>
      </c>
    </row>
    <row r="125" spans="2:19" ht="15" x14ac:dyDescent="0.25">
      <c r="B125" s="143">
        <v>64</v>
      </c>
      <c r="C125" s="143"/>
      <c r="D125" s="143" t="s">
        <v>480</v>
      </c>
      <c r="E125" s="144">
        <f>E126+E127+E128+E129+E130+E131+E132+E133+E134</f>
        <v>0</v>
      </c>
      <c r="F125" s="144">
        <f t="shared" ref="F125:R125" si="25">F126+F127+F128+F129+F130+F131+F132+F133+F134</f>
        <v>0</v>
      </c>
      <c r="G125" s="144">
        <f t="shared" si="25"/>
        <v>0</v>
      </c>
      <c r="H125" s="144">
        <f t="shared" si="25"/>
        <v>0</v>
      </c>
      <c r="I125" s="144">
        <f t="shared" si="25"/>
        <v>0</v>
      </c>
      <c r="J125" s="144">
        <f t="shared" si="25"/>
        <v>0</v>
      </c>
      <c r="K125" s="144">
        <f t="shared" si="25"/>
        <v>0</v>
      </c>
      <c r="L125" s="144">
        <f t="shared" si="25"/>
        <v>0</v>
      </c>
      <c r="M125" s="144">
        <f t="shared" si="25"/>
        <v>0</v>
      </c>
      <c r="N125" s="144">
        <f t="shared" si="25"/>
        <v>0</v>
      </c>
      <c r="O125" s="144">
        <f t="shared" si="25"/>
        <v>0</v>
      </c>
      <c r="P125" s="144">
        <f t="shared" si="25"/>
        <v>0</v>
      </c>
      <c r="Q125" s="144">
        <f t="shared" si="25"/>
        <v>0</v>
      </c>
      <c r="R125" s="144">
        <f t="shared" si="25"/>
        <v>0</v>
      </c>
      <c r="S125" s="8">
        <v>122</v>
      </c>
    </row>
    <row r="126" spans="2:19" x14ac:dyDescent="0.2">
      <c r="C126" s="8">
        <v>640</v>
      </c>
      <c r="D126" s="8" t="s">
        <v>460</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461</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5">
        <v>124</v>
      </c>
    </row>
    <row r="128" spans="2:19" x14ac:dyDescent="0.2">
      <c r="C128" s="8">
        <v>642</v>
      </c>
      <c r="D128" s="8" t="s">
        <v>462</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463</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464</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5">
        <v>127</v>
      </c>
    </row>
    <row r="131" spans="2:19" x14ac:dyDescent="0.2">
      <c r="C131" s="8">
        <v>645</v>
      </c>
      <c r="D131" s="8" t="s">
        <v>465</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466</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467</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5">
        <v>130</v>
      </c>
    </row>
    <row r="134" spans="2:19" x14ac:dyDescent="0.2">
      <c r="C134" s="8">
        <v>648</v>
      </c>
      <c r="D134" s="8" t="s">
        <v>468</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3">
        <v>65</v>
      </c>
      <c r="C136" s="143"/>
      <c r="D136" s="143" t="s">
        <v>481</v>
      </c>
      <c r="E136" s="144">
        <f>E137+E138+E139+E140+E141+E142+E143+E144+E145</f>
        <v>0</v>
      </c>
      <c r="F136" s="144">
        <f t="shared" ref="F136:R136" si="27">F137+F138+F139+F140+F141+F142+F143+F144+F145</f>
        <v>0</v>
      </c>
      <c r="G136" s="144">
        <f t="shared" si="27"/>
        <v>0</v>
      </c>
      <c r="H136" s="144">
        <f t="shared" si="27"/>
        <v>0</v>
      </c>
      <c r="I136" s="144">
        <f t="shared" si="27"/>
        <v>0</v>
      </c>
      <c r="J136" s="144">
        <f t="shared" si="27"/>
        <v>0</v>
      </c>
      <c r="K136" s="144">
        <f t="shared" si="27"/>
        <v>0</v>
      </c>
      <c r="L136" s="144">
        <f t="shared" si="27"/>
        <v>0</v>
      </c>
      <c r="M136" s="144">
        <f t="shared" si="27"/>
        <v>0</v>
      </c>
      <c r="N136" s="144">
        <f t="shared" si="27"/>
        <v>0</v>
      </c>
      <c r="O136" s="144">
        <f t="shared" si="27"/>
        <v>0</v>
      </c>
      <c r="P136" s="144">
        <f t="shared" si="27"/>
        <v>0</v>
      </c>
      <c r="Q136" s="144">
        <f t="shared" si="27"/>
        <v>0</v>
      </c>
      <c r="R136" s="144">
        <f t="shared" si="27"/>
        <v>0</v>
      </c>
      <c r="S136" s="65">
        <v>133</v>
      </c>
    </row>
    <row r="137" spans="2:19" x14ac:dyDescent="0.2">
      <c r="C137" s="8">
        <v>650</v>
      </c>
      <c r="D137" s="8" t="s">
        <v>460</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461</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462</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5">
        <v>136</v>
      </c>
    </row>
    <row r="140" spans="2:19" x14ac:dyDescent="0.2">
      <c r="C140" s="8">
        <v>653</v>
      </c>
      <c r="D140" s="8" t="s">
        <v>463</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464</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465</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5">
        <v>139</v>
      </c>
    </row>
    <row r="143" spans="2:19" x14ac:dyDescent="0.2">
      <c r="C143" s="8">
        <v>656</v>
      </c>
      <c r="D143" s="8" t="s">
        <v>466</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467</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468</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5">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3">
        <v>66</v>
      </c>
      <c r="C147" s="143"/>
      <c r="D147" s="143" t="s">
        <v>482</v>
      </c>
      <c r="E147" s="144">
        <f>E148+E149+E150+E151+E152+E153+E154+E155+E156</f>
        <v>0</v>
      </c>
      <c r="F147" s="144">
        <f t="shared" ref="F147:R147" si="29">F148+F149+F150+F151+F152+F153+F154+F155+F156</f>
        <v>0</v>
      </c>
      <c r="G147" s="144">
        <f t="shared" si="29"/>
        <v>0</v>
      </c>
      <c r="H147" s="144">
        <f t="shared" si="29"/>
        <v>0</v>
      </c>
      <c r="I147" s="144">
        <f t="shared" si="29"/>
        <v>0</v>
      </c>
      <c r="J147" s="144">
        <f t="shared" si="29"/>
        <v>0</v>
      </c>
      <c r="K147" s="144">
        <f t="shared" si="29"/>
        <v>0</v>
      </c>
      <c r="L147" s="144">
        <f t="shared" si="29"/>
        <v>0</v>
      </c>
      <c r="M147" s="144">
        <f t="shared" si="29"/>
        <v>0</v>
      </c>
      <c r="N147" s="144">
        <f t="shared" si="29"/>
        <v>0</v>
      </c>
      <c r="O147" s="144">
        <f t="shared" si="29"/>
        <v>0</v>
      </c>
      <c r="P147" s="144">
        <f t="shared" si="29"/>
        <v>0</v>
      </c>
      <c r="Q147" s="144">
        <f t="shared" si="29"/>
        <v>0</v>
      </c>
      <c r="R147" s="144">
        <f t="shared" si="29"/>
        <v>0</v>
      </c>
      <c r="S147" s="8">
        <v>144</v>
      </c>
    </row>
    <row r="148" spans="2:19" x14ac:dyDescent="0.2">
      <c r="C148" s="8">
        <v>660</v>
      </c>
      <c r="D148" s="8" t="s">
        <v>460</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5">
        <v>145</v>
      </c>
    </row>
    <row r="149" spans="2:19" x14ac:dyDescent="0.2">
      <c r="C149" s="8">
        <v>661</v>
      </c>
      <c r="D149" s="8" t="s">
        <v>461</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462</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463</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5">
        <v>148</v>
      </c>
    </row>
    <row r="152" spans="2:19" x14ac:dyDescent="0.2">
      <c r="C152" s="8">
        <v>664</v>
      </c>
      <c r="D152" s="8" t="s">
        <v>464</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465</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466</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5">
        <v>151</v>
      </c>
    </row>
    <row r="155" spans="2:19" x14ac:dyDescent="0.2">
      <c r="C155" s="8">
        <v>667</v>
      </c>
      <c r="D155" s="8" t="s">
        <v>467</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468</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5">
        <v>154</v>
      </c>
    </row>
    <row r="158" spans="2:19" ht="15" x14ac:dyDescent="0.25">
      <c r="B158" s="143">
        <v>67</v>
      </c>
      <c r="C158" s="143"/>
      <c r="D158" s="143" t="s">
        <v>470</v>
      </c>
      <c r="E158" s="144">
        <f>E159+E160+E161+E162+E163+E164+E165+E166+E167</f>
        <v>0</v>
      </c>
      <c r="F158" s="144">
        <f t="shared" ref="F158:R158" si="31">F159+F160+F161+F162+F163+F164+F165+F166+F167</f>
        <v>0</v>
      </c>
      <c r="G158" s="144">
        <f t="shared" si="31"/>
        <v>0</v>
      </c>
      <c r="H158" s="144">
        <f t="shared" si="31"/>
        <v>0</v>
      </c>
      <c r="I158" s="144">
        <f t="shared" si="31"/>
        <v>0</v>
      </c>
      <c r="J158" s="144">
        <f t="shared" si="31"/>
        <v>0</v>
      </c>
      <c r="K158" s="144">
        <f t="shared" si="31"/>
        <v>0</v>
      </c>
      <c r="L158" s="144">
        <f t="shared" si="31"/>
        <v>0</v>
      </c>
      <c r="M158" s="144">
        <f t="shared" si="31"/>
        <v>0</v>
      </c>
      <c r="N158" s="144">
        <f t="shared" si="31"/>
        <v>0</v>
      </c>
      <c r="O158" s="144">
        <f t="shared" si="31"/>
        <v>0</v>
      </c>
      <c r="P158" s="144">
        <f t="shared" si="31"/>
        <v>0</v>
      </c>
      <c r="Q158" s="144">
        <f t="shared" si="31"/>
        <v>0</v>
      </c>
      <c r="R158" s="144">
        <f t="shared" si="31"/>
        <v>0</v>
      </c>
      <c r="S158" s="8">
        <v>155</v>
      </c>
    </row>
    <row r="159" spans="2:19" x14ac:dyDescent="0.2">
      <c r="C159" s="8">
        <v>670</v>
      </c>
      <c r="D159" s="8" t="s">
        <v>460</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461</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5">
        <v>157</v>
      </c>
    </row>
    <row r="161" spans="2:19" x14ac:dyDescent="0.2">
      <c r="C161" s="8">
        <v>672</v>
      </c>
      <c r="D161" s="8" t="s">
        <v>462</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463</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464</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5">
        <v>160</v>
      </c>
    </row>
    <row r="164" spans="2:19" x14ac:dyDescent="0.2">
      <c r="C164" s="8">
        <v>675</v>
      </c>
      <c r="D164" s="8" t="s">
        <v>465</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466</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467</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5">
        <v>163</v>
      </c>
    </row>
    <row r="167" spans="2:19" x14ac:dyDescent="0.2">
      <c r="C167" s="8">
        <v>678</v>
      </c>
      <c r="D167" s="8" t="s">
        <v>468</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3">
        <v>68</v>
      </c>
      <c r="C169" s="143"/>
      <c r="D169" s="143" t="s">
        <v>483</v>
      </c>
      <c r="E169" s="144">
        <f>E170+E171+E172+E173+E174+E175+E176</f>
        <v>0</v>
      </c>
      <c r="F169" s="144">
        <f t="shared" ref="F169:R169" si="33">F170+F171+F172+F173+F174+F175+F176</f>
        <v>0</v>
      </c>
      <c r="G169" s="144">
        <f t="shared" si="33"/>
        <v>0</v>
      </c>
      <c r="H169" s="144">
        <f t="shared" si="33"/>
        <v>0</v>
      </c>
      <c r="I169" s="144">
        <f t="shared" si="33"/>
        <v>0</v>
      </c>
      <c r="J169" s="144">
        <f t="shared" si="33"/>
        <v>0</v>
      </c>
      <c r="K169" s="144">
        <f t="shared" si="33"/>
        <v>0</v>
      </c>
      <c r="L169" s="144">
        <f t="shared" si="33"/>
        <v>0</v>
      </c>
      <c r="M169" s="144">
        <f t="shared" si="33"/>
        <v>0</v>
      </c>
      <c r="N169" s="144">
        <f t="shared" si="33"/>
        <v>0</v>
      </c>
      <c r="O169" s="144">
        <f t="shared" si="33"/>
        <v>0</v>
      </c>
      <c r="P169" s="144">
        <f t="shared" si="33"/>
        <v>0</v>
      </c>
      <c r="Q169" s="144">
        <f t="shared" si="33"/>
        <v>0</v>
      </c>
      <c r="R169" s="144">
        <f t="shared" si="33"/>
        <v>0</v>
      </c>
      <c r="S169" s="65">
        <v>166</v>
      </c>
    </row>
    <row r="170" spans="2:19" x14ac:dyDescent="0.2">
      <c r="C170" s="8">
        <v>680</v>
      </c>
      <c r="D170" s="8" t="s">
        <v>448</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458</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484</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5">
        <v>169</v>
      </c>
    </row>
    <row r="173" spans="2:19" x14ac:dyDescent="0.2">
      <c r="C173" s="8">
        <v>684</v>
      </c>
      <c r="D173" s="8" t="s">
        <v>246</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373</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485</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5">
        <v>172</v>
      </c>
    </row>
    <row r="176" spans="2:19" x14ac:dyDescent="0.2">
      <c r="C176" s="8">
        <v>689</v>
      </c>
      <c r="D176" s="8" t="s">
        <v>486</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3">
        <v>69</v>
      </c>
      <c r="C178" s="143"/>
      <c r="D178" s="143" t="s">
        <v>487</v>
      </c>
      <c r="E178" s="144">
        <f>E179</f>
        <v>0</v>
      </c>
      <c r="F178" s="144">
        <f t="shared" ref="F178:R178" si="35">F179</f>
        <v>0</v>
      </c>
      <c r="G178" s="144">
        <f t="shared" si="35"/>
        <v>0</v>
      </c>
      <c r="H178" s="144">
        <f t="shared" si="35"/>
        <v>0</v>
      </c>
      <c r="I178" s="144">
        <f t="shared" si="35"/>
        <v>71886.25</v>
      </c>
      <c r="J178" s="144">
        <f t="shared" si="35"/>
        <v>412713.05</v>
      </c>
      <c r="K178" s="144">
        <f t="shared" si="35"/>
        <v>0</v>
      </c>
      <c r="L178" s="144">
        <f t="shared" si="35"/>
        <v>0</v>
      </c>
      <c r="M178" s="144">
        <f t="shared" si="35"/>
        <v>0</v>
      </c>
      <c r="N178" s="144">
        <f t="shared" si="35"/>
        <v>0</v>
      </c>
      <c r="O178" s="144">
        <f t="shared" si="35"/>
        <v>0</v>
      </c>
      <c r="P178" s="144">
        <f t="shared" si="35"/>
        <v>0</v>
      </c>
      <c r="Q178" s="144">
        <f t="shared" si="35"/>
        <v>38360</v>
      </c>
      <c r="R178" s="144">
        <f t="shared" si="35"/>
        <v>522959.3</v>
      </c>
      <c r="S178" s="65">
        <v>175</v>
      </c>
    </row>
    <row r="179" spans="2:19" x14ac:dyDescent="0.2">
      <c r="C179" s="8">
        <v>690</v>
      </c>
      <c r="D179" s="8" t="s">
        <v>487</v>
      </c>
      <c r="E179" s="13">
        <v>0</v>
      </c>
      <c r="F179" s="13">
        <v>0</v>
      </c>
      <c r="G179" s="13">
        <v>0</v>
      </c>
      <c r="H179" s="13">
        <v>0</v>
      </c>
      <c r="I179" s="13">
        <v>71886.25</v>
      </c>
      <c r="J179" s="13">
        <v>412713.05</v>
      </c>
      <c r="K179" s="13">
        <v>0</v>
      </c>
      <c r="L179" s="13">
        <v>0</v>
      </c>
      <c r="M179" s="13">
        <v>0</v>
      </c>
      <c r="N179" s="13">
        <v>0</v>
      </c>
      <c r="O179" s="13">
        <v>0</v>
      </c>
      <c r="P179" s="13">
        <v>0</v>
      </c>
      <c r="Q179" s="13">
        <v>38360</v>
      </c>
      <c r="R179" s="13">
        <f>SUM(E179:Q179)</f>
        <v>522959.3</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5">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79" t="s">
        <v>217</v>
      </c>
      <c r="E183" s="145">
        <f>E5-E88</f>
        <v>0</v>
      </c>
      <c r="F183" s="145">
        <f t="shared" ref="F183:R183" si="36">F5-F88</f>
        <v>0</v>
      </c>
      <c r="G183" s="145">
        <f t="shared" si="36"/>
        <v>0</v>
      </c>
      <c r="H183" s="145">
        <f t="shared" si="36"/>
        <v>0</v>
      </c>
      <c r="I183" s="145">
        <f t="shared" si="36"/>
        <v>29533.25</v>
      </c>
      <c r="J183" s="145">
        <f t="shared" si="36"/>
        <v>412713.05</v>
      </c>
      <c r="K183" s="145">
        <f t="shared" si="36"/>
        <v>0</v>
      </c>
      <c r="L183" s="145">
        <f t="shared" si="36"/>
        <v>0</v>
      </c>
      <c r="M183" s="145">
        <f t="shared" si="36"/>
        <v>0</v>
      </c>
      <c r="N183" s="145">
        <f t="shared" si="36"/>
        <v>0</v>
      </c>
      <c r="O183" s="145">
        <f t="shared" si="36"/>
        <v>0</v>
      </c>
      <c r="P183" s="145">
        <f t="shared" si="36"/>
        <v>0</v>
      </c>
      <c r="Q183" s="145">
        <f t="shared" si="36"/>
        <v>38360</v>
      </c>
      <c r="R183" s="145">
        <f t="shared" si="36"/>
        <v>480606.3</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2" t="s">
        <v>884</v>
      </c>
      <c r="B2" s="7"/>
      <c r="C2" s="7"/>
      <c r="D2" s="7"/>
    </row>
    <row r="4" spans="1:5" ht="15" thickBot="1" x14ac:dyDescent="0.25">
      <c r="D4" s="86" t="s">
        <v>736</v>
      </c>
    </row>
    <row r="5" spans="1:5" ht="15.75" thickBot="1" x14ac:dyDescent="0.3">
      <c r="A5" s="8" t="s">
        <v>727</v>
      </c>
      <c r="D5" s="92" t="s">
        <v>27</v>
      </c>
    </row>
    <row r="8" spans="1:5" ht="20.25" x14ac:dyDescent="0.3">
      <c r="A8" s="141">
        <v>5</v>
      </c>
      <c r="B8" s="141"/>
      <c r="C8" s="141"/>
      <c r="D8" s="141" t="s">
        <v>189</v>
      </c>
      <c r="E8" s="146">
        <f>HLOOKUP($D$5,'Bourgeoisie investissement'!$E$4:$R$185,2,0)</f>
        <v>412713.05</v>
      </c>
    </row>
    <row r="9" spans="1:5" ht="15" x14ac:dyDescent="0.25">
      <c r="A9" s="16"/>
      <c r="B9" s="85">
        <v>50</v>
      </c>
      <c r="C9" s="85"/>
      <c r="D9" s="85" t="s">
        <v>448</v>
      </c>
      <c r="E9" s="107">
        <f>HLOOKUP($D$5,'Bourgeoisie investissement'!$E$4:$R$185,3,0)</f>
        <v>412713.05</v>
      </c>
    </row>
    <row r="10" spans="1:5" x14ac:dyDescent="0.2">
      <c r="C10" s="8">
        <v>500</v>
      </c>
      <c r="D10" s="8" t="s">
        <v>450</v>
      </c>
      <c r="E10" s="18">
        <f>HLOOKUP($D$5,'Bourgeoisie investissement'!$E$4:$R$185,4,0)</f>
        <v>0</v>
      </c>
    </row>
    <row r="11" spans="1:5" x14ac:dyDescent="0.2">
      <c r="C11" s="8">
        <v>501</v>
      </c>
      <c r="D11" s="8" t="s">
        <v>451</v>
      </c>
      <c r="E11" s="18">
        <f>HLOOKUP($D$5,'Bourgeoisie investissement'!$E$4:$R$185,5,0)</f>
        <v>0</v>
      </c>
    </row>
    <row r="12" spans="1:5" x14ac:dyDescent="0.2">
      <c r="C12" s="8">
        <v>502</v>
      </c>
      <c r="D12" s="8" t="s">
        <v>452</v>
      </c>
      <c r="E12" s="18">
        <f>HLOOKUP($D$5,'Bourgeoisie investissement'!$E$4:$R$185,6,0)</f>
        <v>0</v>
      </c>
    </row>
    <row r="13" spans="1:5" x14ac:dyDescent="0.2">
      <c r="C13" s="8">
        <v>503</v>
      </c>
      <c r="D13" s="8" t="s">
        <v>453</v>
      </c>
      <c r="E13" s="18">
        <f>HLOOKUP($D$5,'Bourgeoisie investissement'!$E$4:$R$185,7,0)</f>
        <v>0</v>
      </c>
    </row>
    <row r="14" spans="1:5" x14ac:dyDescent="0.2">
      <c r="C14" s="8">
        <v>504</v>
      </c>
      <c r="D14" s="8" t="s">
        <v>454</v>
      </c>
      <c r="E14" s="18">
        <f>HLOOKUP($D$5,'Bourgeoisie investissement'!$E$4:$R$185,8,0)</f>
        <v>412713.05</v>
      </c>
    </row>
    <row r="15" spans="1:5" x14ac:dyDescent="0.2">
      <c r="C15" s="8">
        <v>505</v>
      </c>
      <c r="D15" s="8" t="s">
        <v>455</v>
      </c>
      <c r="E15" s="18">
        <f>HLOOKUP($D$5,'Bourgeoisie investissement'!$E$4:$R$185,9,0)</f>
        <v>0</v>
      </c>
    </row>
    <row r="16" spans="1:5" x14ac:dyDescent="0.2">
      <c r="C16" s="8">
        <v>506</v>
      </c>
      <c r="D16" s="8" t="s">
        <v>456</v>
      </c>
      <c r="E16" s="18">
        <f>HLOOKUP($D$5,'Bourgeoisie investissement'!$E$4:$R$185,10,0)</f>
        <v>0</v>
      </c>
    </row>
    <row r="17" spans="2:5" x14ac:dyDescent="0.2">
      <c r="C17" s="8">
        <v>509</v>
      </c>
      <c r="D17" s="8" t="s">
        <v>457</v>
      </c>
      <c r="E17" s="18">
        <f>HLOOKUP($D$5,'Bourgeoisie investissement'!$E$4:$R$185,11,0)</f>
        <v>0</v>
      </c>
    </row>
    <row r="18" spans="2:5" x14ac:dyDescent="0.2">
      <c r="E18" s="18"/>
    </row>
    <row r="19" spans="2:5" ht="15" x14ac:dyDescent="0.25">
      <c r="B19" s="85">
        <v>51</v>
      </c>
      <c r="C19" s="85"/>
      <c r="D19" s="85" t="s">
        <v>449</v>
      </c>
      <c r="E19" s="107">
        <f>HLOOKUP($D$5,'Bourgeoisie investissement'!$E$4:$R$185,13,0)</f>
        <v>0</v>
      </c>
    </row>
    <row r="20" spans="2:5" x14ac:dyDescent="0.2">
      <c r="C20" s="8">
        <v>510</v>
      </c>
      <c r="D20" s="8" t="s">
        <v>450</v>
      </c>
      <c r="E20" s="18">
        <f>HLOOKUP($D$5,'Bourgeoisie investissement'!$E$4:$R$185,14,0)</f>
        <v>0</v>
      </c>
    </row>
    <row r="21" spans="2:5" x14ac:dyDescent="0.2">
      <c r="C21" s="8">
        <v>511</v>
      </c>
      <c r="D21" s="8" t="s">
        <v>451</v>
      </c>
      <c r="E21" s="18">
        <f>HLOOKUP($D$5,'Bourgeoisie investissement'!$E$4:$R$185,15,0)</f>
        <v>0</v>
      </c>
    </row>
    <row r="22" spans="2:5" x14ac:dyDescent="0.2">
      <c r="C22" s="8">
        <v>512</v>
      </c>
      <c r="D22" s="8" t="s">
        <v>452</v>
      </c>
      <c r="E22" s="18">
        <f>HLOOKUP($D$5,'Bourgeoisie investissement'!$E$4:$R$185,16,0)</f>
        <v>0</v>
      </c>
    </row>
    <row r="23" spans="2:5" x14ac:dyDescent="0.2">
      <c r="C23" s="8">
        <v>513</v>
      </c>
      <c r="D23" s="8" t="s">
        <v>453</v>
      </c>
      <c r="E23" s="18">
        <f>HLOOKUP($D$5,'Bourgeoisie investissement'!$E$4:$R$185,17,0)</f>
        <v>0</v>
      </c>
    </row>
    <row r="24" spans="2:5" x14ac:dyDescent="0.2">
      <c r="C24" s="8">
        <v>514</v>
      </c>
      <c r="D24" s="8" t="s">
        <v>454</v>
      </c>
      <c r="E24" s="18">
        <f>HLOOKUP($D$5,'Bourgeoisie investissement'!$E$4:$R$185,18,0)</f>
        <v>0</v>
      </c>
    </row>
    <row r="25" spans="2:5" x14ac:dyDescent="0.2">
      <c r="C25" s="8">
        <v>515</v>
      </c>
      <c r="D25" s="8" t="s">
        <v>455</v>
      </c>
      <c r="E25" s="18">
        <f>HLOOKUP($D$5,'Bourgeoisie investissement'!$E$4:$R$185,19,0)</f>
        <v>0</v>
      </c>
    </row>
    <row r="26" spans="2:5" x14ac:dyDescent="0.2">
      <c r="C26" s="8">
        <v>516</v>
      </c>
      <c r="D26" s="8" t="s">
        <v>456</v>
      </c>
      <c r="E26" s="18">
        <f>HLOOKUP($D$5,'Bourgeoisie investissement'!$E$4:$R$185,20,0)</f>
        <v>0</v>
      </c>
    </row>
    <row r="27" spans="2:5" x14ac:dyDescent="0.2">
      <c r="C27" s="8">
        <v>519</v>
      </c>
      <c r="D27" s="8" t="s">
        <v>457</v>
      </c>
      <c r="E27" s="18">
        <f>HLOOKUP($D$5,'Bourgeoisie investissement'!$E$4:$R$185,21,0)</f>
        <v>0</v>
      </c>
    </row>
    <row r="28" spans="2:5" x14ac:dyDescent="0.2">
      <c r="E28" s="18"/>
    </row>
    <row r="29" spans="2:5" ht="15" x14ac:dyDescent="0.25">
      <c r="B29" s="85">
        <v>52</v>
      </c>
      <c r="C29" s="85"/>
      <c r="D29" s="85" t="s">
        <v>458</v>
      </c>
      <c r="E29" s="107">
        <f>HLOOKUP($D$5,'Bourgeoisie investissement'!$E$4:$R$185,23,0)</f>
        <v>0</v>
      </c>
    </row>
    <row r="30" spans="2:5" x14ac:dyDescent="0.2">
      <c r="C30" s="8">
        <v>520</v>
      </c>
      <c r="D30" s="8" t="s">
        <v>360</v>
      </c>
      <c r="E30" s="18">
        <f>HLOOKUP($D$5,'Bourgeoisie investissement'!$E$4:$R$185,24,0)</f>
        <v>0</v>
      </c>
    </row>
    <row r="31" spans="2:5" x14ac:dyDescent="0.2">
      <c r="C31" s="8">
        <v>521</v>
      </c>
      <c r="D31" s="8" t="s">
        <v>361</v>
      </c>
      <c r="E31" s="18">
        <f>HLOOKUP($D$5,'Bourgeoisie investissement'!$E$4:$R$185,25,0)</f>
        <v>0</v>
      </c>
    </row>
    <row r="32" spans="2:5" x14ac:dyDescent="0.2">
      <c r="C32" s="8">
        <v>529</v>
      </c>
      <c r="D32" s="8" t="s">
        <v>459</v>
      </c>
      <c r="E32" s="18">
        <f>HLOOKUP($D$5,'Bourgeoisie investissement'!$E$4:$R$185,26,0)</f>
        <v>0</v>
      </c>
    </row>
    <row r="33" spans="2:5" x14ac:dyDescent="0.2">
      <c r="E33" s="18"/>
    </row>
    <row r="34" spans="2:5" ht="15" x14ac:dyDescent="0.25">
      <c r="B34" s="85">
        <v>54</v>
      </c>
      <c r="C34" s="85"/>
      <c r="D34" s="85" t="s">
        <v>246</v>
      </c>
      <c r="E34" s="107">
        <f>HLOOKUP($D$5,'Bourgeoisie investissement'!$E$4:$R$185,28,0)</f>
        <v>0</v>
      </c>
    </row>
    <row r="35" spans="2:5" x14ac:dyDescent="0.2">
      <c r="C35" s="8">
        <v>540</v>
      </c>
      <c r="D35" s="8" t="s">
        <v>460</v>
      </c>
      <c r="E35" s="18">
        <f>HLOOKUP($D$5,'Bourgeoisie investissement'!$E$4:$R$185,29,0)</f>
        <v>0</v>
      </c>
    </row>
    <row r="36" spans="2:5" x14ac:dyDescent="0.2">
      <c r="C36" s="8">
        <v>541</v>
      </c>
      <c r="D36" s="8" t="s">
        <v>461</v>
      </c>
      <c r="E36" s="18">
        <f>HLOOKUP($D$5,'Bourgeoisie investissement'!$E$4:$R$185,30,0)</f>
        <v>0</v>
      </c>
    </row>
    <row r="37" spans="2:5" x14ac:dyDescent="0.2">
      <c r="C37" s="8">
        <v>542</v>
      </c>
      <c r="D37" s="8" t="s">
        <v>462</v>
      </c>
      <c r="E37" s="18">
        <f>HLOOKUP($D$5,'Bourgeoisie investissement'!$E$4:$R$185,31,0)</f>
        <v>0</v>
      </c>
    </row>
    <row r="38" spans="2:5" x14ac:dyDescent="0.2">
      <c r="C38" s="8">
        <v>543</v>
      </c>
      <c r="D38" s="8" t="s">
        <v>463</v>
      </c>
      <c r="E38" s="18">
        <f>HLOOKUP($D$5,'Bourgeoisie investissement'!$E$4:$R$185,32,0)</f>
        <v>0</v>
      </c>
    </row>
    <row r="39" spans="2:5" x14ac:dyDescent="0.2">
      <c r="C39" s="8">
        <v>544</v>
      </c>
      <c r="D39" s="8" t="s">
        <v>464</v>
      </c>
      <c r="E39" s="18">
        <f>HLOOKUP($D$5,'Bourgeoisie investissement'!$E$4:$R$185,33,0)</f>
        <v>0</v>
      </c>
    </row>
    <row r="40" spans="2:5" x14ac:dyDescent="0.2">
      <c r="C40" s="8">
        <v>545</v>
      </c>
      <c r="D40" s="8" t="s">
        <v>465</v>
      </c>
      <c r="E40" s="18">
        <f>HLOOKUP($D$5,'Bourgeoisie investissement'!$E$4:$R$185,34,0)</f>
        <v>0</v>
      </c>
    </row>
    <row r="41" spans="2:5" x14ac:dyDescent="0.2">
      <c r="C41" s="8">
        <v>546</v>
      </c>
      <c r="D41" s="8" t="s">
        <v>466</v>
      </c>
      <c r="E41" s="18">
        <f>HLOOKUP($D$5,'Bourgeoisie investissement'!$E$4:$R$185,35,0)</f>
        <v>0</v>
      </c>
    </row>
    <row r="42" spans="2:5" x14ac:dyDescent="0.2">
      <c r="C42" s="8">
        <v>547</v>
      </c>
      <c r="D42" s="8" t="s">
        <v>467</v>
      </c>
      <c r="E42" s="18">
        <f>HLOOKUP($D$5,'Bourgeoisie investissement'!$E$4:$R$185,36,0)</f>
        <v>0</v>
      </c>
    </row>
    <row r="43" spans="2:5" x14ac:dyDescent="0.2">
      <c r="C43" s="8">
        <v>548</v>
      </c>
      <c r="D43" s="8" t="s">
        <v>468</v>
      </c>
      <c r="E43" s="18">
        <f>HLOOKUP($D$5,'Bourgeoisie investissement'!$E$4:$R$185,37,0)</f>
        <v>0</v>
      </c>
    </row>
    <row r="44" spans="2:5" x14ac:dyDescent="0.2">
      <c r="E44" s="18"/>
    </row>
    <row r="45" spans="2:5" ht="15" x14ac:dyDescent="0.25">
      <c r="B45" s="85">
        <v>55</v>
      </c>
      <c r="C45" s="85"/>
      <c r="D45" s="85" t="s">
        <v>373</v>
      </c>
      <c r="E45" s="107">
        <f>HLOOKUP($D$5,'Bourgeoisie investissement'!$E$4:$R$185,39,0)</f>
        <v>0</v>
      </c>
    </row>
    <row r="46" spans="2:5" x14ac:dyDescent="0.2">
      <c r="C46" s="8">
        <v>550</v>
      </c>
      <c r="D46" s="8" t="s">
        <v>460</v>
      </c>
      <c r="E46" s="18">
        <f>HLOOKUP($D$5,'Bourgeoisie investissement'!$E$4:$R$185,40,0)</f>
        <v>0</v>
      </c>
    </row>
    <row r="47" spans="2:5" x14ac:dyDescent="0.2">
      <c r="C47" s="8">
        <v>551</v>
      </c>
      <c r="D47" s="8" t="s">
        <v>461</v>
      </c>
      <c r="E47" s="18">
        <f>HLOOKUP($D$5,'Bourgeoisie investissement'!$E$4:$R$185,41,0)</f>
        <v>0</v>
      </c>
    </row>
    <row r="48" spans="2:5" x14ac:dyDescent="0.2">
      <c r="C48" s="8">
        <v>552</v>
      </c>
      <c r="D48" s="8" t="s">
        <v>462</v>
      </c>
      <c r="E48" s="18">
        <f>HLOOKUP($D$5,'Bourgeoisie investissement'!$E$4:$R$185,42,0)</f>
        <v>0</v>
      </c>
    </row>
    <row r="49" spans="2:5" x14ac:dyDescent="0.2">
      <c r="C49" s="8">
        <v>553</v>
      </c>
      <c r="D49" s="8" t="s">
        <v>463</v>
      </c>
      <c r="E49" s="18">
        <f>HLOOKUP($D$5,'Bourgeoisie investissement'!$E$4:$R$185,43,0)</f>
        <v>0</v>
      </c>
    </row>
    <row r="50" spans="2:5" x14ac:dyDescent="0.2">
      <c r="C50" s="8">
        <v>554</v>
      </c>
      <c r="D50" s="8" t="s">
        <v>464</v>
      </c>
      <c r="E50" s="18">
        <f>HLOOKUP($D$5,'Bourgeoisie investissement'!$E$4:$R$185,44,0)</f>
        <v>0</v>
      </c>
    </row>
    <row r="51" spans="2:5" x14ac:dyDescent="0.2">
      <c r="C51" s="8">
        <v>555</v>
      </c>
      <c r="D51" s="8" t="s">
        <v>465</v>
      </c>
      <c r="E51" s="18">
        <f>HLOOKUP($D$5,'Bourgeoisie investissement'!$E$4:$R$185,45,0)</f>
        <v>0</v>
      </c>
    </row>
    <row r="52" spans="2:5" x14ac:dyDescent="0.2">
      <c r="C52" s="8">
        <v>556</v>
      </c>
      <c r="D52" s="8" t="s">
        <v>466</v>
      </c>
      <c r="E52" s="18">
        <f>HLOOKUP($D$5,'Bourgeoisie investissement'!$E$4:$R$185,46,0)</f>
        <v>0</v>
      </c>
    </row>
    <row r="53" spans="2:5" x14ac:dyDescent="0.2">
      <c r="C53" s="8">
        <v>557</v>
      </c>
      <c r="D53" s="8" t="s">
        <v>467</v>
      </c>
      <c r="E53" s="18">
        <f>HLOOKUP($D$5,'Bourgeoisie investissement'!$E$4:$R$185,47,0)</f>
        <v>0</v>
      </c>
    </row>
    <row r="54" spans="2:5" x14ac:dyDescent="0.2">
      <c r="C54" s="8">
        <v>558</v>
      </c>
      <c r="D54" s="8" t="s">
        <v>468</v>
      </c>
      <c r="E54" s="18">
        <f>HLOOKUP($D$5,'Bourgeoisie investissement'!$E$4:$R$185,48,0)</f>
        <v>0</v>
      </c>
    </row>
    <row r="55" spans="2:5" x14ac:dyDescent="0.2">
      <c r="E55" s="18"/>
    </row>
    <row r="56" spans="2:5" ht="15" x14ac:dyDescent="0.25">
      <c r="B56" s="85">
        <v>56</v>
      </c>
      <c r="C56" s="85"/>
      <c r="D56" s="85" t="s">
        <v>469</v>
      </c>
      <c r="E56" s="107">
        <f>HLOOKUP($D$5,'Bourgeoisie investissement'!$E$4:$R$185,50,0)</f>
        <v>0</v>
      </c>
    </row>
    <row r="57" spans="2:5" x14ac:dyDescent="0.2">
      <c r="C57" s="8">
        <v>560</v>
      </c>
      <c r="D57" s="8" t="s">
        <v>460</v>
      </c>
      <c r="E57" s="18">
        <f>HLOOKUP($D$5,'Bourgeoisie investissement'!$E$4:$R$185,51,0)</f>
        <v>0</v>
      </c>
    </row>
    <row r="58" spans="2:5" x14ac:dyDescent="0.2">
      <c r="C58" s="8">
        <v>561</v>
      </c>
      <c r="D58" s="8" t="s">
        <v>461</v>
      </c>
      <c r="E58" s="18">
        <f>HLOOKUP($D$5,'Bourgeoisie investissement'!$E$4:$R$185,52,0)</f>
        <v>0</v>
      </c>
    </row>
    <row r="59" spans="2:5" x14ac:dyDescent="0.2">
      <c r="C59" s="8">
        <v>562</v>
      </c>
      <c r="D59" s="8" t="s">
        <v>462</v>
      </c>
      <c r="E59" s="18">
        <f>HLOOKUP($D$5,'Bourgeoisie investissement'!$E$4:$R$185,53,0)</f>
        <v>0</v>
      </c>
    </row>
    <row r="60" spans="2:5" x14ac:dyDescent="0.2">
      <c r="C60" s="8">
        <v>563</v>
      </c>
      <c r="D60" s="8" t="s">
        <v>463</v>
      </c>
      <c r="E60" s="18">
        <f>HLOOKUP($D$5,'Bourgeoisie investissement'!$E$4:$R$185,54,0)</f>
        <v>0</v>
      </c>
    </row>
    <row r="61" spans="2:5" x14ac:dyDescent="0.2">
      <c r="C61" s="8">
        <v>564</v>
      </c>
      <c r="D61" s="8" t="s">
        <v>464</v>
      </c>
      <c r="E61" s="18">
        <f>HLOOKUP($D$5,'Bourgeoisie investissement'!$E$4:$R$185,55,0)</f>
        <v>0</v>
      </c>
    </row>
    <row r="62" spans="2:5" x14ac:dyDescent="0.2">
      <c r="C62" s="8">
        <v>565</v>
      </c>
      <c r="D62" s="8" t="s">
        <v>465</v>
      </c>
      <c r="E62" s="18">
        <f>HLOOKUP($D$5,'Bourgeoisie investissement'!$E$4:$R$185,56,0)</f>
        <v>0</v>
      </c>
    </row>
    <row r="63" spans="2:5" x14ac:dyDescent="0.2">
      <c r="C63" s="8">
        <v>566</v>
      </c>
      <c r="D63" s="8" t="s">
        <v>466</v>
      </c>
      <c r="E63" s="18">
        <f>HLOOKUP($D$5,'Bourgeoisie investissement'!$E$4:$R$185,57,0)</f>
        <v>0</v>
      </c>
    </row>
    <row r="64" spans="2:5" x14ac:dyDescent="0.2">
      <c r="C64" s="8">
        <v>567</v>
      </c>
      <c r="D64" s="8" t="s">
        <v>467</v>
      </c>
      <c r="E64" s="18">
        <f>HLOOKUP($D$5,'Bourgeoisie investissement'!$E$4:$R$185,58,0)</f>
        <v>0</v>
      </c>
    </row>
    <row r="65" spans="2:5" x14ac:dyDescent="0.2">
      <c r="C65" s="8">
        <v>568</v>
      </c>
      <c r="D65" s="8" t="s">
        <v>468</v>
      </c>
      <c r="E65" s="18">
        <f>HLOOKUP($D$5,'Bourgeoisie investissement'!$E$4:$R$185,59,0)</f>
        <v>0</v>
      </c>
    </row>
    <row r="66" spans="2:5" x14ac:dyDescent="0.2">
      <c r="E66" s="18"/>
    </row>
    <row r="67" spans="2:5" ht="15" x14ac:dyDescent="0.25">
      <c r="B67" s="85">
        <v>57</v>
      </c>
      <c r="C67" s="85"/>
      <c r="D67" s="85" t="s">
        <v>470</v>
      </c>
      <c r="E67" s="107">
        <f>HLOOKUP($D$5,'Bourgeoisie investissement'!$E$4:$R$185,61,0)</f>
        <v>0</v>
      </c>
    </row>
    <row r="68" spans="2:5" x14ac:dyDescent="0.2">
      <c r="C68" s="8">
        <v>570</v>
      </c>
      <c r="D68" s="8" t="s">
        <v>460</v>
      </c>
      <c r="E68" s="18">
        <f>HLOOKUP($D$5,'Bourgeoisie investissement'!$E$4:$R$185,62,0)</f>
        <v>0</v>
      </c>
    </row>
    <row r="69" spans="2:5" x14ac:dyDescent="0.2">
      <c r="C69" s="8">
        <v>571</v>
      </c>
      <c r="D69" s="8" t="s">
        <v>461</v>
      </c>
      <c r="E69" s="18">
        <f>HLOOKUP($D$5,'Bourgeoisie investissement'!$E$4:$R$185,63,0)</f>
        <v>0</v>
      </c>
    </row>
    <row r="70" spans="2:5" x14ac:dyDescent="0.2">
      <c r="C70" s="8">
        <v>572</v>
      </c>
      <c r="D70" s="8" t="s">
        <v>462</v>
      </c>
      <c r="E70" s="18">
        <f>HLOOKUP($D$5,'Bourgeoisie investissement'!$E$4:$R$185,64,0)</f>
        <v>0</v>
      </c>
    </row>
    <row r="71" spans="2:5" x14ac:dyDescent="0.2">
      <c r="C71" s="8">
        <v>573</v>
      </c>
      <c r="D71" s="8" t="s">
        <v>463</v>
      </c>
      <c r="E71" s="18">
        <f>HLOOKUP($D$5,'Bourgeoisie investissement'!$E$4:$R$185,65,0)</f>
        <v>0</v>
      </c>
    </row>
    <row r="72" spans="2:5" x14ac:dyDescent="0.2">
      <c r="C72" s="8">
        <v>574</v>
      </c>
      <c r="D72" s="8" t="s">
        <v>464</v>
      </c>
      <c r="E72" s="18">
        <f>HLOOKUP($D$5,'Bourgeoisie investissement'!$E$4:$R$185,66,0)</f>
        <v>0</v>
      </c>
    </row>
    <row r="73" spans="2:5" x14ac:dyDescent="0.2">
      <c r="C73" s="8">
        <v>575</v>
      </c>
      <c r="D73" s="8" t="s">
        <v>465</v>
      </c>
      <c r="E73" s="18">
        <f>HLOOKUP($D$5,'Bourgeoisie investissement'!$E$4:$R$185,67,0)</f>
        <v>0</v>
      </c>
    </row>
    <row r="74" spans="2:5" x14ac:dyDescent="0.2">
      <c r="C74" s="8">
        <v>576</v>
      </c>
      <c r="D74" s="8" t="s">
        <v>466</v>
      </c>
      <c r="E74" s="18">
        <f>HLOOKUP($D$5,'Bourgeoisie investissement'!$E$4:$R$185,68,0)</f>
        <v>0</v>
      </c>
    </row>
    <row r="75" spans="2:5" x14ac:dyDescent="0.2">
      <c r="C75" s="8">
        <v>577</v>
      </c>
      <c r="D75" s="8" t="s">
        <v>467</v>
      </c>
      <c r="E75" s="18">
        <f>HLOOKUP($D$5,'Bourgeoisie investissement'!$E$4:$R$185,69,0)</f>
        <v>0</v>
      </c>
    </row>
    <row r="76" spans="2:5" x14ac:dyDescent="0.2">
      <c r="C76" s="8">
        <v>578</v>
      </c>
      <c r="D76" s="8" t="s">
        <v>468</v>
      </c>
      <c r="E76" s="18">
        <f>HLOOKUP($D$5,'Bourgeoisie investissement'!$E$4:$R$185,70,0)</f>
        <v>0</v>
      </c>
    </row>
    <row r="77" spans="2:5" x14ac:dyDescent="0.2">
      <c r="E77" s="18"/>
    </row>
    <row r="78" spans="2:5" ht="15" x14ac:dyDescent="0.25">
      <c r="B78" s="85">
        <v>58</v>
      </c>
      <c r="C78" s="85"/>
      <c r="D78" s="85" t="s">
        <v>471</v>
      </c>
      <c r="E78" s="107">
        <f>HLOOKUP($D$5,'Bourgeoisie investissement'!$E$4:$R$185,72,0)</f>
        <v>0</v>
      </c>
    </row>
    <row r="79" spans="2:5" x14ac:dyDescent="0.2">
      <c r="C79" s="8">
        <v>580</v>
      </c>
      <c r="D79" s="8" t="s">
        <v>448</v>
      </c>
      <c r="E79" s="18">
        <f>HLOOKUP($D$5,'Bourgeoisie investissement'!$E$4:$R$185,73,0)</f>
        <v>0</v>
      </c>
    </row>
    <row r="80" spans="2:5" x14ac:dyDescent="0.2">
      <c r="C80" s="8">
        <v>582</v>
      </c>
      <c r="D80" s="8" t="s">
        <v>458</v>
      </c>
      <c r="E80" s="18">
        <f>HLOOKUP($D$5,'Bourgeoisie investissement'!$E$4:$R$185,74,0)</f>
        <v>0</v>
      </c>
    </row>
    <row r="81" spans="1:5" x14ac:dyDescent="0.2">
      <c r="C81" s="8">
        <v>584</v>
      </c>
      <c r="D81" s="8" t="s">
        <v>246</v>
      </c>
      <c r="E81" s="18">
        <f>HLOOKUP($D$5,'Bourgeoisie investissement'!$E$4:$R$185,75,0)</f>
        <v>0</v>
      </c>
    </row>
    <row r="82" spans="1:5" x14ac:dyDescent="0.2">
      <c r="C82" s="8">
        <v>585</v>
      </c>
      <c r="D82" s="8" t="s">
        <v>373</v>
      </c>
      <c r="E82" s="18">
        <f>HLOOKUP($D$5,'Bourgeoisie investissement'!$E$4:$R$185,76,0)</f>
        <v>0</v>
      </c>
    </row>
    <row r="83" spans="1:5" x14ac:dyDescent="0.2">
      <c r="C83" s="8">
        <v>586</v>
      </c>
      <c r="D83" s="8" t="s">
        <v>472</v>
      </c>
      <c r="E83" s="18">
        <f>HLOOKUP($D$5,'Bourgeoisie investissement'!$E$4:$R$185,77,0)</f>
        <v>0</v>
      </c>
    </row>
    <row r="84" spans="1:5" x14ac:dyDescent="0.2">
      <c r="C84" s="8">
        <v>589</v>
      </c>
      <c r="D84" s="8" t="s">
        <v>473</v>
      </c>
      <c r="E84" s="18">
        <f>HLOOKUP($D$5,'Bourgeoisie investissement'!$E$4:$R$185,78,0)</f>
        <v>0</v>
      </c>
    </row>
    <row r="85" spans="1:5" x14ac:dyDescent="0.2">
      <c r="E85" s="18"/>
    </row>
    <row r="86" spans="1:5" ht="15" x14ac:dyDescent="0.25">
      <c r="B86" s="85">
        <v>59</v>
      </c>
      <c r="C86" s="85"/>
      <c r="D86" s="85" t="s">
        <v>474</v>
      </c>
      <c r="E86" s="107">
        <f>HLOOKUP($D$5,'Bourgeoisie investissement'!$E$4:$R$185,80,0)</f>
        <v>0</v>
      </c>
    </row>
    <row r="87" spans="1:5" x14ac:dyDescent="0.2">
      <c r="C87" s="8">
        <v>590</v>
      </c>
      <c r="D87" s="8" t="s">
        <v>474</v>
      </c>
      <c r="E87" s="18">
        <f>HLOOKUP($D$5,'Bourgeoisie investissement'!$E$4:$R$185,81,0)</f>
        <v>0</v>
      </c>
    </row>
    <row r="88" spans="1:5" x14ac:dyDescent="0.2">
      <c r="E88" s="18"/>
    </row>
    <row r="89" spans="1:5" x14ac:dyDescent="0.2">
      <c r="E89" s="18"/>
    </row>
    <row r="90" spans="1:5" x14ac:dyDescent="0.2">
      <c r="E90" s="18"/>
    </row>
    <row r="91" spans="1:5" ht="20.25" x14ac:dyDescent="0.3">
      <c r="A91" s="142">
        <v>6</v>
      </c>
      <c r="B91" s="142"/>
      <c r="C91" s="142"/>
      <c r="D91" s="142" t="s">
        <v>475</v>
      </c>
      <c r="E91" s="147">
        <f>HLOOKUP($D$5,'Bourgeoisie investissement'!$E$4:$R$185,85,0)</f>
        <v>0</v>
      </c>
    </row>
    <row r="92" spans="1:5" ht="15" x14ac:dyDescent="0.25">
      <c r="A92" s="7"/>
      <c r="B92" s="143">
        <v>60</v>
      </c>
      <c r="C92" s="143"/>
      <c r="D92" s="143" t="s">
        <v>476</v>
      </c>
      <c r="E92" s="144">
        <f>HLOOKUP($D$5,'Bourgeoisie investissement'!$E$4:$R$185,86,0)</f>
        <v>0</v>
      </c>
    </row>
    <row r="93" spans="1:5" x14ac:dyDescent="0.2">
      <c r="C93" s="8">
        <v>600</v>
      </c>
      <c r="D93" s="8" t="s">
        <v>450</v>
      </c>
      <c r="E93" s="18">
        <f>HLOOKUP($D$5,'Bourgeoisie investissement'!$E$4:$R$185,87,0)</f>
        <v>0</v>
      </c>
    </row>
    <row r="94" spans="1:5" x14ac:dyDescent="0.2">
      <c r="C94" s="8">
        <v>601</v>
      </c>
      <c r="D94" s="8" t="s">
        <v>451</v>
      </c>
      <c r="E94" s="18">
        <f>HLOOKUP($D$5,'Bourgeoisie investissement'!$E$4:$R$185,88,0)</f>
        <v>0</v>
      </c>
    </row>
    <row r="95" spans="1:5" x14ac:dyDescent="0.2">
      <c r="C95" s="8">
        <v>602</v>
      </c>
      <c r="D95" s="8" t="s">
        <v>452</v>
      </c>
      <c r="E95" s="18">
        <f>HLOOKUP($D$5,'Bourgeoisie investissement'!$E$4:$R$185,89,0)</f>
        <v>0</v>
      </c>
    </row>
    <row r="96" spans="1:5" x14ac:dyDescent="0.2">
      <c r="C96" s="8">
        <v>603</v>
      </c>
      <c r="D96" s="8" t="s">
        <v>453</v>
      </c>
      <c r="E96" s="18">
        <f>HLOOKUP($D$5,'Bourgeoisie investissement'!$E$4:$R$185,90,0)</f>
        <v>0</v>
      </c>
    </row>
    <row r="97" spans="2:5" x14ac:dyDescent="0.2">
      <c r="C97" s="8">
        <v>604</v>
      </c>
      <c r="D97" s="8" t="s">
        <v>454</v>
      </c>
      <c r="E97" s="18">
        <f>HLOOKUP($D$5,'Bourgeoisie investissement'!$E$4:$R$185,91,0)</f>
        <v>0</v>
      </c>
    </row>
    <row r="98" spans="2:5" x14ac:dyDescent="0.2">
      <c r="C98" s="8">
        <v>605</v>
      </c>
      <c r="D98" s="8" t="s">
        <v>455</v>
      </c>
      <c r="E98" s="18">
        <f>HLOOKUP($D$5,'Bourgeoisie investissement'!$E$4:$R$185,92,0)</f>
        <v>0</v>
      </c>
    </row>
    <row r="99" spans="2:5" x14ac:dyDescent="0.2">
      <c r="C99" s="8">
        <v>606</v>
      </c>
      <c r="D99" s="8" t="s">
        <v>456</v>
      </c>
      <c r="E99" s="18">
        <f>HLOOKUP($D$5,'Bourgeoisie investissement'!$E$4:$R$185,93,0)</f>
        <v>0</v>
      </c>
    </row>
    <row r="100" spans="2:5" x14ac:dyDescent="0.2">
      <c r="C100" s="8">
        <v>609</v>
      </c>
      <c r="D100" s="8" t="s">
        <v>457</v>
      </c>
      <c r="E100" s="18">
        <f>HLOOKUP($D$5,'Bourgeoisie investissement'!$E$4:$R$185,94,0)</f>
        <v>0</v>
      </c>
    </row>
    <row r="101" spans="2:5" x14ac:dyDescent="0.2">
      <c r="E101" s="18"/>
    </row>
    <row r="102" spans="2:5" ht="15" x14ac:dyDescent="0.25">
      <c r="B102" s="143">
        <v>61</v>
      </c>
      <c r="C102" s="143"/>
      <c r="D102" s="143" t="s">
        <v>477</v>
      </c>
      <c r="E102" s="144">
        <f>HLOOKUP($D$5,'Bourgeoisie investissement'!$E$4:$R$185,96,0)</f>
        <v>0</v>
      </c>
    </row>
    <row r="103" spans="2:5" x14ac:dyDescent="0.2">
      <c r="C103" s="8">
        <v>610</v>
      </c>
      <c r="D103" s="8" t="s">
        <v>450</v>
      </c>
      <c r="E103" s="18">
        <f>HLOOKUP($D$5,'Bourgeoisie investissement'!$E$4:$R$185,97,0)</f>
        <v>0</v>
      </c>
    </row>
    <row r="104" spans="2:5" x14ac:dyDescent="0.2">
      <c r="C104" s="8">
        <v>611</v>
      </c>
      <c r="D104" s="8" t="s">
        <v>451</v>
      </c>
      <c r="E104" s="18">
        <f>HLOOKUP($D$5,'Bourgeoisie investissement'!$E$4:$R$185,98,0)</f>
        <v>0</v>
      </c>
    </row>
    <row r="105" spans="2:5" x14ac:dyDescent="0.2">
      <c r="C105" s="8">
        <v>612</v>
      </c>
      <c r="D105" s="8" t="s">
        <v>452</v>
      </c>
      <c r="E105" s="18">
        <f>HLOOKUP($D$5,'Bourgeoisie investissement'!$E$4:$R$185,99,0)</f>
        <v>0</v>
      </c>
    </row>
    <row r="106" spans="2:5" x14ac:dyDescent="0.2">
      <c r="C106" s="8">
        <v>613</v>
      </c>
      <c r="D106" s="8" t="s">
        <v>453</v>
      </c>
      <c r="E106" s="18">
        <f>HLOOKUP($D$5,'Bourgeoisie investissement'!$E$4:$R$185,100,0)</f>
        <v>0</v>
      </c>
    </row>
    <row r="107" spans="2:5" x14ac:dyDescent="0.2">
      <c r="C107" s="8">
        <v>614</v>
      </c>
      <c r="D107" s="8" t="s">
        <v>454</v>
      </c>
      <c r="E107" s="18">
        <f>HLOOKUP($D$5,'Bourgeoisie investissement'!$E$4:$R$185,101,0)</f>
        <v>0</v>
      </c>
    </row>
    <row r="108" spans="2:5" x14ac:dyDescent="0.2">
      <c r="C108" s="8">
        <v>615</v>
      </c>
      <c r="D108" s="8" t="s">
        <v>455</v>
      </c>
      <c r="E108" s="18">
        <f>HLOOKUP($D$5,'Bourgeoisie investissement'!$E$4:$R$185,102,0)</f>
        <v>0</v>
      </c>
    </row>
    <row r="109" spans="2:5" x14ac:dyDescent="0.2">
      <c r="C109" s="8">
        <v>616</v>
      </c>
      <c r="D109" s="8" t="s">
        <v>456</v>
      </c>
      <c r="E109" s="18">
        <f>HLOOKUP($D$5,'Bourgeoisie investissement'!$E$4:$R$185,103,0)</f>
        <v>0</v>
      </c>
    </row>
    <row r="110" spans="2:5" x14ac:dyDescent="0.2">
      <c r="C110" s="8">
        <v>619</v>
      </c>
      <c r="D110" s="8" t="s">
        <v>457</v>
      </c>
      <c r="E110" s="18">
        <f>HLOOKUP($D$5,'Bourgeoisie investissement'!$E$4:$R$185,104,0)</f>
        <v>0</v>
      </c>
    </row>
    <row r="111" spans="2:5" x14ac:dyDescent="0.2">
      <c r="E111" s="18"/>
    </row>
    <row r="112" spans="2:5" ht="15" x14ac:dyDescent="0.25">
      <c r="B112" s="143">
        <v>62</v>
      </c>
      <c r="C112" s="143"/>
      <c r="D112" s="143" t="s">
        <v>478</v>
      </c>
      <c r="E112" s="144">
        <f>HLOOKUP($D$5,'Bourgeoisie investissement'!$E$4:$R$185,106,0)</f>
        <v>0</v>
      </c>
    </row>
    <row r="113" spans="2:5" x14ac:dyDescent="0.2">
      <c r="C113" s="8">
        <v>620</v>
      </c>
      <c r="D113" s="8" t="s">
        <v>360</v>
      </c>
      <c r="E113" s="18">
        <f>HLOOKUP($D$5,'Bourgeoisie investissement'!$E$4:$R$185,107,0)</f>
        <v>0</v>
      </c>
    </row>
    <row r="114" spans="2:5" x14ac:dyDescent="0.2">
      <c r="C114" s="8">
        <v>621</v>
      </c>
      <c r="D114" s="8" t="s">
        <v>361</v>
      </c>
      <c r="E114" s="18">
        <f>HLOOKUP($D$5,'Bourgeoisie investissement'!$E$4:$R$185,108,0)</f>
        <v>0</v>
      </c>
    </row>
    <row r="115" spans="2:5" x14ac:dyDescent="0.2">
      <c r="C115" s="8">
        <v>629</v>
      </c>
      <c r="D115" s="8" t="s">
        <v>459</v>
      </c>
      <c r="E115" s="18">
        <f>HLOOKUP($D$5,'Bourgeoisie investissement'!$E$4:$R$185,109,0)</f>
        <v>0</v>
      </c>
    </row>
    <row r="116" spans="2:5" x14ac:dyDescent="0.2">
      <c r="E116" s="18"/>
    </row>
    <row r="117" spans="2:5" ht="15" x14ac:dyDescent="0.25">
      <c r="B117" s="143">
        <v>63</v>
      </c>
      <c r="C117" s="143"/>
      <c r="D117" s="143" t="s">
        <v>479</v>
      </c>
      <c r="E117" s="144">
        <f>HLOOKUP($D$5,'Bourgeoisie investissement'!$E$4:$R$185,111,0)</f>
        <v>0</v>
      </c>
    </row>
    <row r="118" spans="2:5" x14ac:dyDescent="0.2">
      <c r="C118" s="8">
        <v>630</v>
      </c>
      <c r="D118" s="8" t="s">
        <v>460</v>
      </c>
      <c r="E118" s="18">
        <f>HLOOKUP($D$5,'Bourgeoisie investissement'!$E$4:$R$185,112,0)</f>
        <v>0</v>
      </c>
    </row>
    <row r="119" spans="2:5" x14ac:dyDescent="0.2">
      <c r="C119" s="8">
        <v>631</v>
      </c>
      <c r="D119" s="8" t="s">
        <v>461</v>
      </c>
      <c r="E119" s="18">
        <f>HLOOKUP($D$5,'Bourgeoisie investissement'!$E$4:$R$185,113,0)</f>
        <v>0</v>
      </c>
    </row>
    <row r="120" spans="2:5" x14ac:dyDescent="0.2">
      <c r="C120" s="8">
        <v>632</v>
      </c>
      <c r="D120" s="8" t="s">
        <v>462</v>
      </c>
      <c r="E120" s="18">
        <f>HLOOKUP($D$5,'Bourgeoisie investissement'!$E$4:$R$185,114,0)</f>
        <v>0</v>
      </c>
    </row>
    <row r="121" spans="2:5" x14ac:dyDescent="0.2">
      <c r="C121" s="8">
        <v>633</v>
      </c>
      <c r="D121" s="8" t="s">
        <v>463</v>
      </c>
      <c r="E121" s="18">
        <f>HLOOKUP($D$5,'Bourgeoisie investissement'!$E$4:$R$185,115,0)</f>
        <v>0</v>
      </c>
    </row>
    <row r="122" spans="2:5" x14ac:dyDescent="0.2">
      <c r="C122" s="8">
        <v>634</v>
      </c>
      <c r="D122" s="8" t="s">
        <v>464</v>
      </c>
      <c r="E122" s="18">
        <f>HLOOKUP($D$5,'Bourgeoisie investissement'!$E$4:$R$185,116,0)</f>
        <v>0</v>
      </c>
    </row>
    <row r="123" spans="2:5" x14ac:dyDescent="0.2">
      <c r="C123" s="8">
        <v>635</v>
      </c>
      <c r="D123" s="8" t="s">
        <v>465</v>
      </c>
      <c r="E123" s="18">
        <f>HLOOKUP($D$5,'Bourgeoisie investissement'!$E$4:$R$185,117,0)</f>
        <v>0</v>
      </c>
    </row>
    <row r="124" spans="2:5" x14ac:dyDescent="0.2">
      <c r="C124" s="8">
        <v>636</v>
      </c>
      <c r="D124" s="8" t="s">
        <v>466</v>
      </c>
      <c r="E124" s="18">
        <f>HLOOKUP($D$5,'Bourgeoisie investissement'!$E$4:$R$185,118,0)</f>
        <v>0</v>
      </c>
    </row>
    <row r="125" spans="2:5" x14ac:dyDescent="0.2">
      <c r="C125" s="8">
        <v>637</v>
      </c>
      <c r="D125" s="8" t="s">
        <v>467</v>
      </c>
      <c r="E125" s="18">
        <f>HLOOKUP($D$5,'Bourgeoisie investissement'!$E$4:$R$185,119,0)</f>
        <v>0</v>
      </c>
    </row>
    <row r="126" spans="2:5" x14ac:dyDescent="0.2">
      <c r="C126" s="8">
        <v>638</v>
      </c>
      <c r="D126" s="8" t="s">
        <v>468</v>
      </c>
      <c r="E126" s="18">
        <f>HLOOKUP($D$5,'Bourgeoisie investissement'!$E$4:$R$185,120,0)</f>
        <v>0</v>
      </c>
    </row>
    <row r="127" spans="2:5" x14ac:dyDescent="0.2">
      <c r="E127" s="18"/>
    </row>
    <row r="128" spans="2:5" ht="15" x14ac:dyDescent="0.25">
      <c r="B128" s="143">
        <v>64</v>
      </c>
      <c r="C128" s="143"/>
      <c r="D128" s="143" t="s">
        <v>480</v>
      </c>
      <c r="E128" s="144">
        <f>HLOOKUP($D$5,'Bourgeoisie investissement'!$E$4:$R$185,122,0)</f>
        <v>0</v>
      </c>
    </row>
    <row r="129" spans="2:5" x14ac:dyDescent="0.2">
      <c r="C129" s="8">
        <v>640</v>
      </c>
      <c r="D129" s="8" t="s">
        <v>460</v>
      </c>
      <c r="E129" s="18">
        <f>HLOOKUP($D$5,'Bourgeoisie investissement'!$E$4:$R$185,123,0)</f>
        <v>0</v>
      </c>
    </row>
    <row r="130" spans="2:5" x14ac:dyDescent="0.2">
      <c r="C130" s="8">
        <v>641</v>
      </c>
      <c r="D130" s="8" t="s">
        <v>461</v>
      </c>
      <c r="E130" s="18">
        <f>HLOOKUP($D$5,'Bourgeoisie investissement'!$E$4:$R$185,124,0)</f>
        <v>0</v>
      </c>
    </row>
    <row r="131" spans="2:5" x14ac:dyDescent="0.2">
      <c r="C131" s="8">
        <v>642</v>
      </c>
      <c r="D131" s="8" t="s">
        <v>462</v>
      </c>
      <c r="E131" s="18">
        <f>HLOOKUP($D$5,'Bourgeoisie investissement'!$E$4:$R$185,125,0)</f>
        <v>0</v>
      </c>
    </row>
    <row r="132" spans="2:5" x14ac:dyDescent="0.2">
      <c r="C132" s="8">
        <v>643</v>
      </c>
      <c r="D132" s="8" t="s">
        <v>463</v>
      </c>
      <c r="E132" s="18">
        <f>HLOOKUP($D$5,'Bourgeoisie investissement'!$E$4:$R$185,126,0)</f>
        <v>0</v>
      </c>
    </row>
    <row r="133" spans="2:5" x14ac:dyDescent="0.2">
      <c r="C133" s="8">
        <v>644</v>
      </c>
      <c r="D133" s="8" t="s">
        <v>464</v>
      </c>
      <c r="E133" s="18">
        <f>HLOOKUP($D$5,'Bourgeoisie investissement'!$E$4:$R$185,127,0)</f>
        <v>0</v>
      </c>
    </row>
    <row r="134" spans="2:5" x14ac:dyDescent="0.2">
      <c r="C134" s="8">
        <v>645</v>
      </c>
      <c r="D134" s="8" t="s">
        <v>465</v>
      </c>
      <c r="E134" s="18">
        <f>HLOOKUP($D$5,'Bourgeoisie investissement'!$E$4:$R$185,128,0)</f>
        <v>0</v>
      </c>
    </row>
    <row r="135" spans="2:5" x14ac:dyDescent="0.2">
      <c r="C135" s="8">
        <v>646</v>
      </c>
      <c r="D135" s="8" t="s">
        <v>466</v>
      </c>
      <c r="E135" s="18">
        <f>HLOOKUP($D$5,'Bourgeoisie investissement'!$E$4:$R$185,129,0)</f>
        <v>0</v>
      </c>
    </row>
    <row r="136" spans="2:5" x14ac:dyDescent="0.2">
      <c r="C136" s="8">
        <v>647</v>
      </c>
      <c r="D136" s="8" t="s">
        <v>467</v>
      </c>
      <c r="E136" s="18">
        <f>HLOOKUP($D$5,'Bourgeoisie investissement'!$E$4:$R$185,130,0)</f>
        <v>0</v>
      </c>
    </row>
    <row r="137" spans="2:5" x14ac:dyDescent="0.2">
      <c r="C137" s="8">
        <v>648</v>
      </c>
      <c r="D137" s="8" t="s">
        <v>468</v>
      </c>
      <c r="E137" s="18">
        <f>HLOOKUP($D$5,'Bourgeoisie investissement'!$E$4:$R$185,131,0)</f>
        <v>0</v>
      </c>
    </row>
    <row r="138" spans="2:5" x14ac:dyDescent="0.2">
      <c r="E138" s="18"/>
    </row>
    <row r="139" spans="2:5" ht="15" x14ac:dyDescent="0.25">
      <c r="B139" s="143">
        <v>65</v>
      </c>
      <c r="C139" s="143"/>
      <c r="D139" s="143" t="s">
        <v>481</v>
      </c>
      <c r="E139" s="144">
        <f>HLOOKUP($D$5,'Bourgeoisie investissement'!$E$4:$R$185,133,0)</f>
        <v>0</v>
      </c>
    </row>
    <row r="140" spans="2:5" x14ac:dyDescent="0.2">
      <c r="C140" s="8">
        <v>650</v>
      </c>
      <c r="D140" s="8" t="s">
        <v>460</v>
      </c>
      <c r="E140" s="18">
        <f>HLOOKUP($D$5,'Bourgeoisie investissement'!$E$4:$R$185,134,0)</f>
        <v>0</v>
      </c>
    </row>
    <row r="141" spans="2:5" x14ac:dyDescent="0.2">
      <c r="C141" s="8">
        <v>651</v>
      </c>
      <c r="D141" s="8" t="s">
        <v>461</v>
      </c>
      <c r="E141" s="18">
        <f>HLOOKUP($D$5,'Bourgeoisie investissement'!$E$4:$R$185,135,0)</f>
        <v>0</v>
      </c>
    </row>
    <row r="142" spans="2:5" x14ac:dyDescent="0.2">
      <c r="C142" s="8">
        <v>652</v>
      </c>
      <c r="D142" s="8" t="s">
        <v>462</v>
      </c>
      <c r="E142" s="18">
        <f>HLOOKUP($D$5,'Bourgeoisie investissement'!$E$4:$R$185,136,0)</f>
        <v>0</v>
      </c>
    </row>
    <row r="143" spans="2:5" x14ac:dyDescent="0.2">
      <c r="C143" s="8">
        <v>653</v>
      </c>
      <c r="D143" s="8" t="s">
        <v>463</v>
      </c>
      <c r="E143" s="18">
        <f>HLOOKUP($D$5,'Bourgeoisie investissement'!$E$4:$R$185,137,0)</f>
        <v>0</v>
      </c>
    </row>
    <row r="144" spans="2:5" x14ac:dyDescent="0.2">
      <c r="C144" s="8">
        <v>654</v>
      </c>
      <c r="D144" s="8" t="s">
        <v>464</v>
      </c>
      <c r="E144" s="18">
        <f>HLOOKUP($D$5,'Bourgeoisie investissement'!$E$4:$R$185,138,0)</f>
        <v>0</v>
      </c>
    </row>
    <row r="145" spans="2:5" x14ac:dyDescent="0.2">
      <c r="C145" s="8">
        <v>655</v>
      </c>
      <c r="D145" s="8" t="s">
        <v>465</v>
      </c>
      <c r="E145" s="18">
        <f>HLOOKUP($D$5,'Bourgeoisie investissement'!$E$4:$R$185,139,0)</f>
        <v>0</v>
      </c>
    </row>
    <row r="146" spans="2:5" x14ac:dyDescent="0.2">
      <c r="C146" s="8">
        <v>656</v>
      </c>
      <c r="D146" s="8" t="s">
        <v>466</v>
      </c>
      <c r="E146" s="18">
        <f>HLOOKUP($D$5,'Bourgeoisie investissement'!$E$4:$R$185,140,0)</f>
        <v>0</v>
      </c>
    </row>
    <row r="147" spans="2:5" x14ac:dyDescent="0.2">
      <c r="C147" s="8">
        <v>657</v>
      </c>
      <c r="D147" s="8" t="s">
        <v>467</v>
      </c>
      <c r="E147" s="18">
        <f>HLOOKUP($D$5,'Bourgeoisie investissement'!$E$4:$R$185,141,0)</f>
        <v>0</v>
      </c>
    </row>
    <row r="148" spans="2:5" x14ac:dyDescent="0.2">
      <c r="C148" s="8">
        <v>658</v>
      </c>
      <c r="D148" s="8" t="s">
        <v>468</v>
      </c>
      <c r="E148" s="18">
        <f>HLOOKUP($D$5,'Bourgeoisie investissement'!$E$4:$R$185,142,0)</f>
        <v>0</v>
      </c>
    </row>
    <row r="149" spans="2:5" x14ac:dyDescent="0.2">
      <c r="E149" s="18"/>
    </row>
    <row r="150" spans="2:5" ht="15" x14ac:dyDescent="0.25">
      <c r="B150" s="143">
        <v>66</v>
      </c>
      <c r="C150" s="143"/>
      <c r="D150" s="143" t="s">
        <v>482</v>
      </c>
      <c r="E150" s="144">
        <f>HLOOKUP($D$5,'Bourgeoisie investissement'!$E$4:$R$185,144,0)</f>
        <v>0</v>
      </c>
    </row>
    <row r="151" spans="2:5" x14ac:dyDescent="0.2">
      <c r="C151" s="8">
        <v>660</v>
      </c>
      <c r="D151" s="8" t="s">
        <v>460</v>
      </c>
      <c r="E151" s="18">
        <f>HLOOKUP($D$5,'Bourgeoisie investissement'!$E$4:$R$185,145,0)</f>
        <v>0</v>
      </c>
    </row>
    <row r="152" spans="2:5" x14ac:dyDescent="0.2">
      <c r="C152" s="8">
        <v>661</v>
      </c>
      <c r="D152" s="8" t="s">
        <v>461</v>
      </c>
      <c r="E152" s="18">
        <f>HLOOKUP($D$5,'Bourgeoisie investissement'!$E$4:$R$185,146,0)</f>
        <v>0</v>
      </c>
    </row>
    <row r="153" spans="2:5" x14ac:dyDescent="0.2">
      <c r="C153" s="8">
        <v>662</v>
      </c>
      <c r="D153" s="8" t="s">
        <v>462</v>
      </c>
      <c r="E153" s="18">
        <f>HLOOKUP($D$5,'Bourgeoisie investissement'!$E$4:$R$185,147,0)</f>
        <v>0</v>
      </c>
    </row>
    <row r="154" spans="2:5" x14ac:dyDescent="0.2">
      <c r="C154" s="8">
        <v>663</v>
      </c>
      <c r="D154" s="8" t="s">
        <v>463</v>
      </c>
      <c r="E154" s="18">
        <f>HLOOKUP($D$5,'Bourgeoisie investissement'!$E$4:$R$185,148,0)</f>
        <v>0</v>
      </c>
    </row>
    <row r="155" spans="2:5" x14ac:dyDescent="0.2">
      <c r="C155" s="8">
        <v>664</v>
      </c>
      <c r="D155" s="8" t="s">
        <v>464</v>
      </c>
      <c r="E155" s="18">
        <f>HLOOKUP($D$5,'Bourgeoisie investissement'!$E$4:$R$185,149,0)</f>
        <v>0</v>
      </c>
    </row>
    <row r="156" spans="2:5" x14ac:dyDescent="0.2">
      <c r="C156" s="8">
        <v>665</v>
      </c>
      <c r="D156" s="8" t="s">
        <v>465</v>
      </c>
      <c r="E156" s="18">
        <f>HLOOKUP($D$5,'Bourgeoisie investissement'!$E$4:$R$185,150,0)</f>
        <v>0</v>
      </c>
    </row>
    <row r="157" spans="2:5" x14ac:dyDescent="0.2">
      <c r="C157" s="8">
        <v>666</v>
      </c>
      <c r="D157" s="8" t="s">
        <v>466</v>
      </c>
      <c r="E157" s="18">
        <f>HLOOKUP($D$5,'Bourgeoisie investissement'!$E$4:$R$185,151,0)</f>
        <v>0</v>
      </c>
    </row>
    <row r="158" spans="2:5" x14ac:dyDescent="0.2">
      <c r="C158" s="8">
        <v>667</v>
      </c>
      <c r="D158" s="8" t="s">
        <v>467</v>
      </c>
      <c r="E158" s="18">
        <f>HLOOKUP($D$5,'Bourgeoisie investissement'!$E$4:$R$185,152,0)</f>
        <v>0</v>
      </c>
    </row>
    <row r="159" spans="2:5" x14ac:dyDescent="0.2">
      <c r="C159" s="8">
        <v>668</v>
      </c>
      <c r="D159" s="8" t="s">
        <v>468</v>
      </c>
      <c r="E159" s="18">
        <f>HLOOKUP($D$5,'Bourgeoisie investissement'!$E$4:$R$185,153,0)</f>
        <v>0</v>
      </c>
    </row>
    <row r="160" spans="2:5" x14ac:dyDescent="0.2">
      <c r="E160" s="18"/>
    </row>
    <row r="161" spans="2:5" ht="15" x14ac:dyDescent="0.25">
      <c r="B161" s="143">
        <v>67</v>
      </c>
      <c r="C161" s="143"/>
      <c r="D161" s="143" t="s">
        <v>470</v>
      </c>
      <c r="E161" s="144">
        <f>HLOOKUP($D$5,'Bourgeoisie investissement'!$E$4:$R$185,155,0)</f>
        <v>0</v>
      </c>
    </row>
    <row r="162" spans="2:5" x14ac:dyDescent="0.2">
      <c r="C162" s="8">
        <v>670</v>
      </c>
      <c r="D162" s="8" t="s">
        <v>460</v>
      </c>
      <c r="E162" s="18">
        <f>HLOOKUP($D$5,'Bourgeoisie investissement'!$E$4:$R$185,156,0)</f>
        <v>0</v>
      </c>
    </row>
    <row r="163" spans="2:5" x14ac:dyDescent="0.2">
      <c r="C163" s="8">
        <v>671</v>
      </c>
      <c r="D163" s="8" t="s">
        <v>461</v>
      </c>
      <c r="E163" s="18">
        <f>HLOOKUP($D$5,'Bourgeoisie investissement'!$E$4:$R$185,157,0)</f>
        <v>0</v>
      </c>
    </row>
    <row r="164" spans="2:5" x14ac:dyDescent="0.2">
      <c r="C164" s="8">
        <v>672</v>
      </c>
      <c r="D164" s="8" t="s">
        <v>462</v>
      </c>
      <c r="E164" s="18">
        <f>HLOOKUP($D$5,'Bourgeoisie investissement'!$E$4:$R$185,158,0)</f>
        <v>0</v>
      </c>
    </row>
    <row r="165" spans="2:5" x14ac:dyDescent="0.2">
      <c r="C165" s="8">
        <v>673</v>
      </c>
      <c r="D165" s="8" t="s">
        <v>463</v>
      </c>
      <c r="E165" s="18">
        <f>HLOOKUP($D$5,'Bourgeoisie investissement'!$E$4:$R$185,159,0)</f>
        <v>0</v>
      </c>
    </row>
    <row r="166" spans="2:5" x14ac:dyDescent="0.2">
      <c r="C166" s="8">
        <v>674</v>
      </c>
      <c r="D166" s="8" t="s">
        <v>464</v>
      </c>
      <c r="E166" s="18">
        <f>HLOOKUP($D$5,'Bourgeoisie investissement'!$E$4:$R$185,160,0)</f>
        <v>0</v>
      </c>
    </row>
    <row r="167" spans="2:5" x14ac:dyDescent="0.2">
      <c r="C167" s="8">
        <v>675</v>
      </c>
      <c r="D167" s="8" t="s">
        <v>465</v>
      </c>
      <c r="E167" s="18">
        <f>HLOOKUP($D$5,'Bourgeoisie investissement'!$E$4:$R$185,161,0)</f>
        <v>0</v>
      </c>
    </row>
    <row r="168" spans="2:5" x14ac:dyDescent="0.2">
      <c r="C168" s="8">
        <v>676</v>
      </c>
      <c r="D168" s="8" t="s">
        <v>466</v>
      </c>
      <c r="E168" s="18">
        <f>HLOOKUP($D$5,'Bourgeoisie investissement'!$E$4:$R$185,162,0)</f>
        <v>0</v>
      </c>
    </row>
    <row r="169" spans="2:5" x14ac:dyDescent="0.2">
      <c r="C169" s="8">
        <v>677</v>
      </c>
      <c r="D169" s="8" t="s">
        <v>467</v>
      </c>
      <c r="E169" s="18">
        <f>HLOOKUP($D$5,'Bourgeoisie investissement'!$E$4:$R$185,163,0)</f>
        <v>0</v>
      </c>
    </row>
    <row r="170" spans="2:5" x14ac:dyDescent="0.2">
      <c r="C170" s="8">
        <v>678</v>
      </c>
      <c r="D170" s="8" t="s">
        <v>468</v>
      </c>
      <c r="E170" s="18">
        <f>HLOOKUP($D$5,'Bourgeoisie investissement'!$E$4:$R$185,164,0)</f>
        <v>0</v>
      </c>
    </row>
    <row r="171" spans="2:5" x14ac:dyDescent="0.2">
      <c r="E171" s="18"/>
    </row>
    <row r="172" spans="2:5" ht="15" x14ac:dyDescent="0.25">
      <c r="B172" s="143">
        <v>68</v>
      </c>
      <c r="C172" s="143"/>
      <c r="D172" s="143" t="s">
        <v>483</v>
      </c>
      <c r="E172" s="144">
        <f>HLOOKUP($D$5,'Bourgeoisie investissement'!$E$4:$R$185,166,0)</f>
        <v>0</v>
      </c>
    </row>
    <row r="173" spans="2:5" x14ac:dyDescent="0.2">
      <c r="C173" s="8">
        <v>680</v>
      </c>
      <c r="D173" s="8" t="s">
        <v>448</v>
      </c>
      <c r="E173" s="18">
        <f>HLOOKUP($D$5,'Bourgeoisie investissement'!$E$4:$R$185,167,0)</f>
        <v>0</v>
      </c>
    </row>
    <row r="174" spans="2:5" x14ac:dyDescent="0.2">
      <c r="C174" s="8">
        <v>682</v>
      </c>
      <c r="D174" s="8" t="s">
        <v>458</v>
      </c>
      <c r="E174" s="18">
        <f>HLOOKUP($D$5,'Bourgeoisie investissement'!$E$4:$R$185,168,0)</f>
        <v>0</v>
      </c>
    </row>
    <row r="175" spans="2:5" x14ac:dyDescent="0.2">
      <c r="C175" s="8">
        <v>683</v>
      </c>
      <c r="D175" s="8" t="s">
        <v>484</v>
      </c>
      <c r="E175" s="18">
        <f>HLOOKUP($D$5,'Bourgeoisie investissement'!$E$4:$R$185,169,0)</f>
        <v>0</v>
      </c>
    </row>
    <row r="176" spans="2:5" x14ac:dyDescent="0.2">
      <c r="C176" s="8">
        <v>684</v>
      </c>
      <c r="D176" s="8" t="s">
        <v>246</v>
      </c>
      <c r="E176" s="18">
        <f>HLOOKUP($D$5,'Bourgeoisie investissement'!$E$4:$R$185,170,0)</f>
        <v>0</v>
      </c>
    </row>
    <row r="177" spans="2:5" x14ac:dyDescent="0.2">
      <c r="C177" s="8">
        <v>685</v>
      </c>
      <c r="D177" s="8" t="s">
        <v>373</v>
      </c>
      <c r="E177" s="18">
        <f>HLOOKUP($D$5,'Bourgeoisie investissement'!$E$4:$R$185,171,0)</f>
        <v>0</v>
      </c>
    </row>
    <row r="178" spans="2:5" x14ac:dyDescent="0.2">
      <c r="C178" s="8">
        <v>686</v>
      </c>
      <c r="D178" s="8" t="s">
        <v>485</v>
      </c>
      <c r="E178" s="18">
        <f>HLOOKUP($D$5,'Bourgeoisie investissement'!$E$4:$R$185,172,0)</f>
        <v>0</v>
      </c>
    </row>
    <row r="179" spans="2:5" x14ac:dyDescent="0.2">
      <c r="C179" s="8">
        <v>689</v>
      </c>
      <c r="D179" s="8" t="s">
        <v>486</v>
      </c>
      <c r="E179" s="18">
        <f>HLOOKUP($D$5,'Bourgeoisie investissement'!$E$4:$R$185,173,0)</f>
        <v>0</v>
      </c>
    </row>
    <row r="180" spans="2:5" x14ac:dyDescent="0.2">
      <c r="E180" s="18"/>
    </row>
    <row r="181" spans="2:5" ht="15" x14ac:dyDescent="0.25">
      <c r="B181" s="143">
        <v>69</v>
      </c>
      <c r="C181" s="143"/>
      <c r="D181" s="143" t="s">
        <v>487</v>
      </c>
      <c r="E181" s="144">
        <f>HLOOKUP($D$5,'Bourgeoisie investissement'!$E$4:$R$185,175,0)</f>
        <v>412713.05</v>
      </c>
    </row>
    <row r="182" spans="2:5" x14ac:dyDescent="0.2">
      <c r="C182" s="8">
        <v>690</v>
      </c>
      <c r="D182" s="8" t="s">
        <v>487</v>
      </c>
      <c r="E182" s="18">
        <f>HLOOKUP($D$5,'Bourgeoisie investissement'!$E$4:$R$185,176,0)</f>
        <v>412713.05</v>
      </c>
    </row>
    <row r="183" spans="2:5" x14ac:dyDescent="0.2">
      <c r="E183" s="18"/>
    </row>
    <row r="184" spans="2:5" x14ac:dyDescent="0.2">
      <c r="E184" s="18"/>
    </row>
    <row r="185" spans="2:5" x14ac:dyDescent="0.2">
      <c r="E185" s="18"/>
    </row>
    <row r="186" spans="2:5" ht="18" x14ac:dyDescent="0.25">
      <c r="D186" s="149" t="s">
        <v>217</v>
      </c>
      <c r="E186" s="150">
        <f>HLOOKUP($D$5,'Bourgeoisie investissement'!$E$4:$R$185,180,0)</f>
        <v>412713.05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tabSelected="1" zoomScale="115" zoomScaleNormal="115" workbookViewId="0">
      <pane xSplit="4" ySplit="4" topLeftCell="E5" activePane="bottomRight" state="frozen"/>
      <selection pane="topRight" activeCell="E1" sqref="E1"/>
      <selection pane="bottomLeft" activeCell="A4" sqref="A4"/>
      <selection pane="bottomRight" activeCell="E13" sqref="E13"/>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2" t="s">
        <v>851</v>
      </c>
      <c r="B2" s="7"/>
      <c r="C2" s="7"/>
      <c r="D2" s="7"/>
    </row>
    <row r="3" spans="1:33" ht="20.25" x14ac:dyDescent="0.3">
      <c r="A3" s="192" t="s">
        <v>725</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0" t="s">
        <v>778</v>
      </c>
      <c r="F4" s="90" t="s">
        <v>779</v>
      </c>
      <c r="G4" s="90" t="s">
        <v>780</v>
      </c>
      <c r="H4" s="90" t="s">
        <v>781</v>
      </c>
      <c r="I4" s="90" t="s">
        <v>782</v>
      </c>
      <c r="J4" s="90" t="s">
        <v>783</v>
      </c>
      <c r="K4" s="90" t="s">
        <v>784</v>
      </c>
      <c r="L4" s="90" t="s">
        <v>807</v>
      </c>
      <c r="M4" s="90" t="s">
        <v>785</v>
      </c>
      <c r="N4" s="90" t="s">
        <v>786</v>
      </c>
      <c r="O4" s="90" t="s">
        <v>787</v>
      </c>
      <c r="P4" s="90" t="s">
        <v>788</v>
      </c>
      <c r="Q4" s="90" t="s">
        <v>789</v>
      </c>
      <c r="R4" s="90" t="s">
        <v>790</v>
      </c>
      <c r="S4" s="90" t="s">
        <v>791</v>
      </c>
      <c r="T4" s="90" t="s">
        <v>792</v>
      </c>
      <c r="U4" s="90" t="s">
        <v>793</v>
      </c>
      <c r="V4" s="90" t="s">
        <v>794</v>
      </c>
      <c r="W4" s="90" t="s">
        <v>795</v>
      </c>
      <c r="X4" s="90" t="s">
        <v>796</v>
      </c>
      <c r="Y4" s="90" t="s">
        <v>797</v>
      </c>
      <c r="Z4" s="90" t="s">
        <v>798</v>
      </c>
      <c r="AA4" s="90" t="s">
        <v>799</v>
      </c>
      <c r="AB4" s="90" t="s">
        <v>800</v>
      </c>
      <c r="AC4" s="90" t="s">
        <v>801</v>
      </c>
      <c r="AD4" s="90" t="s">
        <v>802</v>
      </c>
      <c r="AE4" s="90" t="s">
        <v>803</v>
      </c>
      <c r="AF4" s="112" t="s">
        <v>64</v>
      </c>
      <c r="AG4" s="8">
        <v>1</v>
      </c>
    </row>
    <row r="5" spans="1:33" ht="20.25" x14ac:dyDescent="0.3">
      <c r="A5" s="11">
        <v>3</v>
      </c>
      <c r="B5" s="11"/>
      <c r="C5" s="11"/>
      <c r="D5" s="11" t="s">
        <v>59</v>
      </c>
      <c r="E5" s="12">
        <f>E6+E16+E28+E32+E40+E44+E54+E57+E65</f>
        <v>780318.27</v>
      </c>
      <c r="F5" s="12">
        <f t="shared" ref="F5:AF5" si="0">F6+F16+F28+F32+F40+F44+F54+F57+F65</f>
        <v>7753564.5699999994</v>
      </c>
      <c r="G5" s="12">
        <f t="shared" si="0"/>
        <v>27287.15</v>
      </c>
      <c r="H5" s="12">
        <f t="shared" si="0"/>
        <v>8925380.1099999994</v>
      </c>
      <c r="I5" s="12">
        <f t="shared" si="0"/>
        <v>173196.15000000002</v>
      </c>
      <c r="J5" s="12">
        <f t="shared" si="0"/>
        <v>1092947.1400000001</v>
      </c>
      <c r="K5" s="12">
        <f t="shared" si="0"/>
        <v>2424968.6199999996</v>
      </c>
      <c r="L5" s="12">
        <f t="shared" si="0"/>
        <v>618254.68999999994</v>
      </c>
      <c r="M5" s="12">
        <f t="shared" si="0"/>
        <v>328232.47000000003</v>
      </c>
      <c r="N5" s="12">
        <f t="shared" si="0"/>
        <v>295716.56</v>
      </c>
      <c r="O5" s="12">
        <f t="shared" si="0"/>
        <v>5349775.5299999993</v>
      </c>
      <c r="P5" s="12">
        <f t="shared" si="0"/>
        <v>32239.999999999996</v>
      </c>
      <c r="Q5" s="12">
        <f t="shared" si="0"/>
        <v>7715.36</v>
      </c>
      <c r="R5" s="12">
        <f t="shared" si="0"/>
        <v>48317.409999999996</v>
      </c>
      <c r="S5" s="12">
        <f t="shared" si="0"/>
        <v>2136.1</v>
      </c>
      <c r="T5" s="12">
        <f t="shared" ref="T5" si="1">T6+T16+T28+T32+T40+T44+T54+T57+T65</f>
        <v>686951.05</v>
      </c>
      <c r="U5" s="12">
        <f t="shared" si="0"/>
        <v>124302.89</v>
      </c>
      <c r="V5" s="12">
        <f t="shared" si="0"/>
        <v>690812.23</v>
      </c>
      <c r="W5" s="12">
        <f t="shared" si="0"/>
        <v>47001.9</v>
      </c>
      <c r="X5" s="12">
        <f t="shared" si="0"/>
        <v>855511.39999999991</v>
      </c>
      <c r="Y5" s="12">
        <f t="shared" si="0"/>
        <v>5943118.3199999994</v>
      </c>
      <c r="Z5" s="12">
        <f t="shared" si="0"/>
        <v>402881.94000000006</v>
      </c>
      <c r="AA5" s="12">
        <f t="shared" si="0"/>
        <v>2116411.7800000003</v>
      </c>
      <c r="AB5" s="12">
        <f t="shared" si="0"/>
        <v>237415.83999999997</v>
      </c>
      <c r="AC5" s="12">
        <f t="shared" si="0"/>
        <v>175848.63</v>
      </c>
      <c r="AD5" s="12">
        <f t="shared" si="0"/>
        <v>3392984.6999999997</v>
      </c>
      <c r="AE5" s="12">
        <f t="shared" si="0"/>
        <v>215214.45</v>
      </c>
      <c r="AF5" s="12">
        <f t="shared" si="0"/>
        <v>42748505.260000005</v>
      </c>
      <c r="AG5" s="8">
        <v>2</v>
      </c>
    </row>
    <row r="6" spans="1:33" ht="15" x14ac:dyDescent="0.25">
      <c r="A6" s="75"/>
      <c r="B6" s="75">
        <v>30</v>
      </c>
      <c r="C6" s="75"/>
      <c r="D6" s="75" t="s">
        <v>60</v>
      </c>
      <c r="E6" s="76">
        <f>E7+E8+E9+E10+E11+E12+E13+E14</f>
        <v>211801.2</v>
      </c>
      <c r="F6" s="76">
        <f t="shared" ref="F6:AF6" si="2">F7+F8+F9+F10+F11+F12+F13+F14</f>
        <v>737946.15</v>
      </c>
      <c r="G6" s="76">
        <f t="shared" si="2"/>
        <v>6700.4</v>
      </c>
      <c r="H6" s="76">
        <f t="shared" si="2"/>
        <v>579425.89999999991</v>
      </c>
      <c r="I6" s="76">
        <f t="shared" si="2"/>
        <v>23233.800000000003</v>
      </c>
      <c r="J6" s="76">
        <f t="shared" si="2"/>
        <v>206690.40000000002</v>
      </c>
      <c r="K6" s="76">
        <f t="shared" si="2"/>
        <v>524624.55000000005</v>
      </c>
      <c r="L6" s="76">
        <f t="shared" si="2"/>
        <v>145024.41999999998</v>
      </c>
      <c r="M6" s="76">
        <f t="shared" si="2"/>
        <v>61006.950000000004</v>
      </c>
      <c r="N6" s="76">
        <f t="shared" si="2"/>
        <v>11859.900000000001</v>
      </c>
      <c r="O6" s="76">
        <f t="shared" si="2"/>
        <v>554042.35</v>
      </c>
      <c r="P6" s="76">
        <f t="shared" si="2"/>
        <v>3730</v>
      </c>
      <c r="Q6" s="76">
        <f t="shared" si="2"/>
        <v>2185</v>
      </c>
      <c r="R6" s="76">
        <f t="shared" si="2"/>
        <v>37927.85</v>
      </c>
      <c r="S6" s="76">
        <f t="shared" si="2"/>
        <v>1050</v>
      </c>
      <c r="T6" s="76">
        <f t="shared" ref="T6" si="3">T7+T8+T9+T10+T11+T12+T13+T14</f>
        <v>50224.549999999996</v>
      </c>
      <c r="U6" s="76">
        <f t="shared" si="2"/>
        <v>11876.05</v>
      </c>
      <c r="V6" s="76">
        <f t="shared" si="2"/>
        <v>107744.35</v>
      </c>
      <c r="W6" s="76">
        <f t="shared" si="2"/>
        <v>46796.800000000003</v>
      </c>
      <c r="X6" s="76">
        <f t="shared" si="2"/>
        <v>95291.849999999991</v>
      </c>
      <c r="Y6" s="76">
        <f t="shared" si="2"/>
        <v>1299210.81</v>
      </c>
      <c r="Z6" s="76">
        <f t="shared" si="2"/>
        <v>40012.799999999996</v>
      </c>
      <c r="AA6" s="76">
        <f t="shared" si="2"/>
        <v>439341.97</v>
      </c>
      <c r="AB6" s="76">
        <f t="shared" si="2"/>
        <v>41092.75</v>
      </c>
      <c r="AC6" s="76">
        <f t="shared" si="2"/>
        <v>13765.25</v>
      </c>
      <c r="AD6" s="76">
        <f t="shared" si="2"/>
        <v>725423.7</v>
      </c>
      <c r="AE6" s="76">
        <f t="shared" si="2"/>
        <v>29478.45</v>
      </c>
      <c r="AF6" s="76">
        <f t="shared" si="2"/>
        <v>6007508.2000000011</v>
      </c>
      <c r="AG6" s="8">
        <v>3</v>
      </c>
    </row>
    <row r="7" spans="1:33" x14ac:dyDescent="0.2">
      <c r="C7" s="8">
        <v>300</v>
      </c>
      <c r="D7" s="8" t="s">
        <v>77</v>
      </c>
      <c r="E7" s="13">
        <v>13896.2</v>
      </c>
      <c r="F7" s="13">
        <v>14074.2</v>
      </c>
      <c r="G7" s="13">
        <v>1750</v>
      </c>
      <c r="H7" s="13">
        <v>24585</v>
      </c>
      <c r="I7" s="13">
        <v>18484</v>
      </c>
      <c r="J7" s="13">
        <v>5425</v>
      </c>
      <c r="K7" s="13">
        <v>7875</v>
      </c>
      <c r="L7" s="13">
        <v>18005.900000000001</v>
      </c>
      <c r="M7" s="13">
        <v>5105</v>
      </c>
      <c r="N7" s="13">
        <v>10529.2</v>
      </c>
      <c r="O7" s="13">
        <v>7000</v>
      </c>
      <c r="P7" s="13">
        <v>1330</v>
      </c>
      <c r="Q7" s="13">
        <v>250</v>
      </c>
      <c r="R7" s="13">
        <v>780</v>
      </c>
      <c r="S7" s="13">
        <v>450</v>
      </c>
      <c r="T7" s="13">
        <v>8571.25</v>
      </c>
      <c r="U7" s="13">
        <v>5460</v>
      </c>
      <c r="V7" s="13">
        <v>2756</v>
      </c>
      <c r="W7" s="13">
        <v>5275</v>
      </c>
      <c r="X7" s="13">
        <v>25208.75</v>
      </c>
      <c r="Y7" s="13">
        <v>43400</v>
      </c>
      <c r="Z7" s="13">
        <v>5430.3</v>
      </c>
      <c r="AA7" s="13">
        <v>13195.3</v>
      </c>
      <c r="AB7" s="13">
        <v>9280</v>
      </c>
      <c r="AC7" s="13">
        <v>4060.6</v>
      </c>
      <c r="AD7" s="13">
        <v>5164</v>
      </c>
      <c r="AE7" s="13">
        <v>1785</v>
      </c>
      <c r="AF7" s="13">
        <f t="shared" ref="AF7:AF14" si="4">SUM(E7:AE7)</f>
        <v>259125.69999999998</v>
      </c>
      <c r="AG7" s="8">
        <v>4</v>
      </c>
    </row>
    <row r="8" spans="1:33" x14ac:dyDescent="0.2">
      <c r="C8" s="8">
        <v>301</v>
      </c>
      <c r="D8" s="8" t="s">
        <v>78</v>
      </c>
      <c r="E8" s="13">
        <v>159506.04999999999</v>
      </c>
      <c r="F8" s="13">
        <v>547087.85</v>
      </c>
      <c r="G8" s="13">
        <v>4000</v>
      </c>
      <c r="H8" s="13">
        <v>357912.05</v>
      </c>
      <c r="I8" s="13">
        <v>4129.3999999999996</v>
      </c>
      <c r="J8" s="13">
        <v>173197.6</v>
      </c>
      <c r="K8" s="13">
        <v>438741.45</v>
      </c>
      <c r="L8" s="13">
        <v>103280.95</v>
      </c>
      <c r="M8" s="13">
        <v>45333.35</v>
      </c>
      <c r="N8" s="13">
        <v>0</v>
      </c>
      <c r="O8" s="13">
        <v>443003.8</v>
      </c>
      <c r="P8" s="13">
        <v>2400</v>
      </c>
      <c r="Q8" s="13">
        <v>1935</v>
      </c>
      <c r="R8" s="13">
        <v>37469.75</v>
      </c>
      <c r="S8" s="13">
        <v>600</v>
      </c>
      <c r="T8" s="13">
        <v>38123.25</v>
      </c>
      <c r="U8" s="13">
        <v>5600</v>
      </c>
      <c r="V8" s="13">
        <v>84689.2</v>
      </c>
      <c r="W8" s="13">
        <v>32717.49</v>
      </c>
      <c r="X8" s="13">
        <v>63399.199999999997</v>
      </c>
      <c r="Y8" s="13">
        <v>1019207.05</v>
      </c>
      <c r="Z8" s="13">
        <v>30592.2</v>
      </c>
      <c r="AA8" s="13">
        <v>354189.3</v>
      </c>
      <c r="AB8" s="13">
        <v>0</v>
      </c>
      <c r="AC8" s="13">
        <v>8945</v>
      </c>
      <c r="AD8" s="13">
        <v>569463.4</v>
      </c>
      <c r="AE8" s="13">
        <v>23691.25</v>
      </c>
      <c r="AF8" s="13">
        <f t="shared" si="4"/>
        <v>4549214.5900000008</v>
      </c>
      <c r="AG8" s="8">
        <v>5</v>
      </c>
    </row>
    <row r="9" spans="1:33"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29115</v>
      </c>
      <c r="AC9" s="13">
        <v>0</v>
      </c>
      <c r="AD9" s="13">
        <v>0</v>
      </c>
      <c r="AE9" s="13">
        <v>0</v>
      </c>
      <c r="AF9" s="13">
        <f t="shared" si="4"/>
        <v>29115</v>
      </c>
      <c r="AG9" s="8">
        <v>6</v>
      </c>
    </row>
    <row r="10" spans="1:33" x14ac:dyDescent="0.2">
      <c r="C10" s="8">
        <v>303</v>
      </c>
      <c r="D10" s="8" t="s">
        <v>80</v>
      </c>
      <c r="E10" s="13">
        <v>0</v>
      </c>
      <c r="F10" s="13">
        <v>0</v>
      </c>
      <c r="G10" s="13">
        <v>0</v>
      </c>
      <c r="H10" s="13">
        <v>82623.399999999994</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f t="shared" si="4"/>
        <v>82623.399999999994</v>
      </c>
      <c r="AG10" s="8">
        <v>7</v>
      </c>
    </row>
    <row r="11" spans="1:33" x14ac:dyDescent="0.2">
      <c r="C11" s="8">
        <v>304</v>
      </c>
      <c r="D11" s="8" t="s">
        <v>572</v>
      </c>
      <c r="E11" s="13">
        <v>0</v>
      </c>
      <c r="F11" s="13">
        <v>0</v>
      </c>
      <c r="G11" s="13">
        <v>0</v>
      </c>
      <c r="H11" s="13">
        <v>0</v>
      </c>
      <c r="I11" s="13">
        <v>0</v>
      </c>
      <c r="J11" s="13">
        <v>0</v>
      </c>
      <c r="K11" s="13">
        <v>0</v>
      </c>
      <c r="L11" s="13">
        <v>0</v>
      </c>
      <c r="M11" s="13">
        <v>0</v>
      </c>
      <c r="N11" s="13">
        <v>0</v>
      </c>
      <c r="O11" s="13">
        <v>9550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f t="shared" si="4"/>
        <v>9550</v>
      </c>
      <c r="AG11" s="8">
        <v>8</v>
      </c>
    </row>
    <row r="12" spans="1:33" x14ac:dyDescent="0.2">
      <c r="C12" s="8">
        <v>305</v>
      </c>
      <c r="D12" s="8" t="s">
        <v>81</v>
      </c>
      <c r="E12" s="13">
        <v>32995.75</v>
      </c>
      <c r="F12" s="13">
        <v>160596.20000000001</v>
      </c>
      <c r="G12" s="13">
        <v>374.15</v>
      </c>
      <c r="H12" s="13">
        <v>103413.25</v>
      </c>
      <c r="I12" s="13">
        <v>0</v>
      </c>
      <c r="J12" s="13">
        <v>25051.599999999999</v>
      </c>
      <c r="K12" s="13">
        <v>78008.100000000006</v>
      </c>
      <c r="L12" s="13">
        <v>22738.799999999999</v>
      </c>
      <c r="M12" s="13">
        <v>7471.55</v>
      </c>
      <c r="N12" s="13">
        <v>506.1</v>
      </c>
      <c r="O12" s="13">
        <v>93828.55</v>
      </c>
      <c r="P12" s="13">
        <v>0</v>
      </c>
      <c r="Q12" s="13">
        <v>0</v>
      </c>
      <c r="R12" s="13">
        <v>-321.89999999999998</v>
      </c>
      <c r="S12" s="13">
        <v>0</v>
      </c>
      <c r="T12" s="13">
        <v>2768.85</v>
      </c>
      <c r="U12" s="13">
        <v>332.05</v>
      </c>
      <c r="V12" s="13">
        <v>20218.55</v>
      </c>
      <c r="W12" s="13">
        <v>6101.21</v>
      </c>
      <c r="X12" s="13">
        <v>6683.9</v>
      </c>
      <c r="Y12" s="13">
        <v>205260.96</v>
      </c>
      <c r="Z12" s="13">
        <v>2248.9499999999998</v>
      </c>
      <c r="AA12" s="13">
        <v>69380</v>
      </c>
      <c r="AB12" s="13">
        <v>2339.75</v>
      </c>
      <c r="AC12" s="13">
        <v>759.65</v>
      </c>
      <c r="AD12" s="13">
        <v>122224.85</v>
      </c>
      <c r="AE12" s="13">
        <v>3918.05</v>
      </c>
      <c r="AF12" s="13">
        <f t="shared" si="4"/>
        <v>966898.91999999993</v>
      </c>
      <c r="AG12" s="8">
        <v>9</v>
      </c>
    </row>
    <row r="13" spans="1:33"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4960</v>
      </c>
      <c r="Z13" s="13">
        <v>0</v>
      </c>
      <c r="AA13" s="13">
        <v>0</v>
      </c>
      <c r="AB13" s="13">
        <v>0</v>
      </c>
      <c r="AC13" s="13">
        <v>0</v>
      </c>
      <c r="AD13" s="13">
        <v>0</v>
      </c>
      <c r="AE13" s="13">
        <v>0</v>
      </c>
      <c r="AF13" s="13">
        <f t="shared" si="4"/>
        <v>4960</v>
      </c>
      <c r="AG13" s="8">
        <v>10</v>
      </c>
    </row>
    <row r="14" spans="1:33" x14ac:dyDescent="0.2">
      <c r="C14" s="8">
        <v>309</v>
      </c>
      <c r="D14" s="8" t="s">
        <v>83</v>
      </c>
      <c r="E14" s="13">
        <v>5403.2</v>
      </c>
      <c r="F14" s="13">
        <v>16187.9</v>
      </c>
      <c r="G14" s="13">
        <v>576.25</v>
      </c>
      <c r="H14" s="13">
        <v>10892.2</v>
      </c>
      <c r="I14" s="13">
        <v>620.4</v>
      </c>
      <c r="J14" s="13">
        <v>3016.2</v>
      </c>
      <c r="K14" s="13">
        <v>0</v>
      </c>
      <c r="L14" s="13">
        <v>998.77</v>
      </c>
      <c r="M14" s="13">
        <v>3097.05</v>
      </c>
      <c r="N14" s="13">
        <v>824.6</v>
      </c>
      <c r="O14" s="13">
        <v>660</v>
      </c>
      <c r="P14" s="13">
        <v>0</v>
      </c>
      <c r="Q14" s="13">
        <v>0</v>
      </c>
      <c r="R14" s="13">
        <v>0</v>
      </c>
      <c r="S14" s="13">
        <v>0</v>
      </c>
      <c r="T14" s="13">
        <v>761.2</v>
      </c>
      <c r="U14" s="13">
        <v>484</v>
      </c>
      <c r="V14" s="13">
        <v>80.599999999999994</v>
      </c>
      <c r="W14" s="13">
        <v>2703.1</v>
      </c>
      <c r="X14" s="13">
        <v>0</v>
      </c>
      <c r="Y14" s="13">
        <v>26382.799999999999</v>
      </c>
      <c r="Z14" s="13">
        <v>1741.35</v>
      </c>
      <c r="AA14" s="13">
        <v>2577.37</v>
      </c>
      <c r="AB14" s="13">
        <v>358</v>
      </c>
      <c r="AC14" s="13">
        <v>0</v>
      </c>
      <c r="AD14" s="13">
        <v>28571.45</v>
      </c>
      <c r="AE14" s="13">
        <v>84.15</v>
      </c>
      <c r="AF14" s="13">
        <f t="shared" si="4"/>
        <v>106020.58999999998</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5">
        <v>31</v>
      </c>
      <c r="C16" s="75"/>
      <c r="D16" s="75" t="s">
        <v>84</v>
      </c>
      <c r="E16" s="76">
        <f>E17+E18+E19+E20+E21+E22+E23+E24+E25+E26</f>
        <v>429804.58999999997</v>
      </c>
      <c r="F16" s="76">
        <f t="shared" ref="F16:AF16" si="5">F17+F18+F19+F20+F21+F22+F23+F24+F25+F26</f>
        <v>1782555.5299999998</v>
      </c>
      <c r="G16" s="76">
        <f t="shared" si="5"/>
        <v>20586.75</v>
      </c>
      <c r="H16" s="76">
        <f t="shared" si="5"/>
        <v>3812705.9099999997</v>
      </c>
      <c r="I16" s="76">
        <f t="shared" si="5"/>
        <v>88438.399999999994</v>
      </c>
      <c r="J16" s="76">
        <f t="shared" si="5"/>
        <v>470530.85000000003</v>
      </c>
      <c r="K16" s="76">
        <f t="shared" si="5"/>
        <v>1246658.0699999998</v>
      </c>
      <c r="L16" s="76">
        <f t="shared" si="5"/>
        <v>210173.66999999998</v>
      </c>
      <c r="M16" s="76">
        <f t="shared" si="5"/>
        <v>267041.62</v>
      </c>
      <c r="N16" s="76">
        <f t="shared" si="5"/>
        <v>275756.65999999997</v>
      </c>
      <c r="O16" s="76">
        <f t="shared" si="5"/>
        <v>1372674.38</v>
      </c>
      <c r="P16" s="76">
        <f t="shared" si="5"/>
        <v>21009.999999999996</v>
      </c>
      <c r="Q16" s="76">
        <f t="shared" si="5"/>
        <v>2619.66</v>
      </c>
      <c r="R16" s="76">
        <f t="shared" si="5"/>
        <v>10389.56</v>
      </c>
      <c r="S16" s="76">
        <f t="shared" si="5"/>
        <v>1070.5</v>
      </c>
      <c r="T16" s="76">
        <f t="shared" ref="T16" si="6">T17+T18+T19+T20+T21+T22+T23+T24+T25+T26</f>
        <v>44246.950000000004</v>
      </c>
      <c r="U16" s="76">
        <f t="shared" si="5"/>
        <v>50383.44</v>
      </c>
      <c r="V16" s="76">
        <f t="shared" si="5"/>
        <v>293582.78000000003</v>
      </c>
      <c r="W16" s="76">
        <f t="shared" si="5"/>
        <v>175.4</v>
      </c>
      <c r="X16" s="76">
        <f t="shared" si="5"/>
        <v>409638.05000000005</v>
      </c>
      <c r="Y16" s="76">
        <f t="shared" si="5"/>
        <v>3135221.47</v>
      </c>
      <c r="Z16" s="76">
        <f t="shared" si="5"/>
        <v>217740.49000000002</v>
      </c>
      <c r="AA16" s="76">
        <f t="shared" si="5"/>
        <v>586463.06000000006</v>
      </c>
      <c r="AB16" s="76">
        <f t="shared" si="5"/>
        <v>185982.08999999997</v>
      </c>
      <c r="AC16" s="76">
        <f t="shared" si="5"/>
        <v>11506.900000000001</v>
      </c>
      <c r="AD16" s="76">
        <f t="shared" si="5"/>
        <v>2225133.67</v>
      </c>
      <c r="AE16" s="76">
        <f t="shared" si="5"/>
        <v>88133</v>
      </c>
      <c r="AF16" s="76">
        <f t="shared" si="5"/>
        <v>17260223.450000003</v>
      </c>
      <c r="AG16" s="8">
        <v>13</v>
      </c>
    </row>
    <row r="17" spans="2:33" x14ac:dyDescent="0.2">
      <c r="C17" s="8">
        <v>310</v>
      </c>
      <c r="D17" s="8" t="s">
        <v>85</v>
      </c>
      <c r="E17" s="13">
        <v>118136.95</v>
      </c>
      <c r="F17" s="13">
        <v>464253.05</v>
      </c>
      <c r="G17" s="13">
        <v>236.95</v>
      </c>
      <c r="H17" s="13">
        <v>54730.45</v>
      </c>
      <c r="I17" s="13">
        <v>0</v>
      </c>
      <c r="J17" s="13">
        <v>137864.14000000001</v>
      </c>
      <c r="K17" s="13">
        <v>365780.63</v>
      </c>
      <c r="L17" s="13">
        <v>3242.55</v>
      </c>
      <c r="M17" s="13">
        <v>73796.17</v>
      </c>
      <c r="N17" s="13">
        <v>116.25</v>
      </c>
      <c r="O17" s="13">
        <v>105401.8</v>
      </c>
      <c r="P17" s="13">
        <v>2533.15</v>
      </c>
      <c r="Q17" s="13">
        <v>544.96</v>
      </c>
      <c r="R17" s="13">
        <v>2835.06</v>
      </c>
      <c r="S17" s="13">
        <v>90.7</v>
      </c>
      <c r="T17" s="13">
        <v>391.8</v>
      </c>
      <c r="U17" s="13">
        <v>3042.3</v>
      </c>
      <c r="V17" s="13">
        <v>60914.65</v>
      </c>
      <c r="W17" s="13">
        <v>75.400000000000006</v>
      </c>
      <c r="X17" s="13">
        <v>97073.1</v>
      </c>
      <c r="Y17" s="13">
        <v>227629.91</v>
      </c>
      <c r="Z17" s="13">
        <v>2403.6999999999998</v>
      </c>
      <c r="AA17" s="13">
        <v>135517.54</v>
      </c>
      <c r="AB17" s="13">
        <v>1701.05</v>
      </c>
      <c r="AC17" s="13">
        <v>19.2</v>
      </c>
      <c r="AD17" s="13">
        <v>341205.43</v>
      </c>
      <c r="AE17" s="13">
        <v>14388.65</v>
      </c>
      <c r="AF17" s="13">
        <f t="shared" ref="AF17:AF26" si="7">SUM(E17:AE17)</f>
        <v>2213925.5399999996</v>
      </c>
      <c r="AG17" s="8">
        <v>14</v>
      </c>
    </row>
    <row r="18" spans="2:33" x14ac:dyDescent="0.2">
      <c r="C18" s="8">
        <v>311</v>
      </c>
      <c r="D18" s="8" t="s">
        <v>446</v>
      </c>
      <c r="E18" s="13">
        <v>46768.49</v>
      </c>
      <c r="F18" s="13">
        <v>10705.91</v>
      </c>
      <c r="G18" s="13">
        <v>0</v>
      </c>
      <c r="H18" s="13">
        <v>4527.8</v>
      </c>
      <c r="I18" s="13">
        <v>0</v>
      </c>
      <c r="J18" s="13">
        <v>36420.6</v>
      </c>
      <c r="K18" s="13">
        <v>52735.22</v>
      </c>
      <c r="L18" s="13">
        <v>19679.45</v>
      </c>
      <c r="M18" s="13">
        <v>11030</v>
      </c>
      <c r="N18" s="13">
        <v>0</v>
      </c>
      <c r="O18" s="13">
        <v>5409.3</v>
      </c>
      <c r="P18" s="13">
        <v>0</v>
      </c>
      <c r="Q18" s="13">
        <v>0</v>
      </c>
      <c r="R18" s="13">
        <v>0</v>
      </c>
      <c r="S18" s="13">
        <v>0</v>
      </c>
      <c r="T18" s="13">
        <v>2920.95</v>
      </c>
      <c r="U18" s="13">
        <v>0</v>
      </c>
      <c r="V18" s="13">
        <v>35300.699999999997</v>
      </c>
      <c r="W18" s="13">
        <v>0</v>
      </c>
      <c r="X18" s="13">
        <v>0</v>
      </c>
      <c r="Y18" s="13">
        <v>27135.599999999999</v>
      </c>
      <c r="Z18" s="13">
        <v>498.35</v>
      </c>
      <c r="AA18" s="13">
        <v>36562.71</v>
      </c>
      <c r="AB18" s="13">
        <v>0</v>
      </c>
      <c r="AC18" s="13">
        <v>0</v>
      </c>
      <c r="AD18" s="13">
        <v>44174.37</v>
      </c>
      <c r="AE18" s="13">
        <v>350</v>
      </c>
      <c r="AF18" s="13">
        <f t="shared" si="7"/>
        <v>334219.45</v>
      </c>
      <c r="AG18" s="8">
        <v>15</v>
      </c>
    </row>
    <row r="19" spans="2:33" x14ac:dyDescent="0.2">
      <c r="C19" s="8">
        <v>312</v>
      </c>
      <c r="D19" s="8" t="s">
        <v>87</v>
      </c>
      <c r="E19" s="13">
        <v>37669.65</v>
      </c>
      <c r="F19" s="13">
        <v>657182.29</v>
      </c>
      <c r="G19" s="13">
        <v>1366.65</v>
      </c>
      <c r="H19" s="13">
        <v>16175.4</v>
      </c>
      <c r="I19" s="13">
        <v>0</v>
      </c>
      <c r="J19" s="13">
        <v>66490.350000000006</v>
      </c>
      <c r="K19" s="13">
        <v>130697.9</v>
      </c>
      <c r="L19" s="13">
        <v>26544.95</v>
      </c>
      <c r="M19" s="13">
        <v>0</v>
      </c>
      <c r="N19" s="13">
        <v>0</v>
      </c>
      <c r="O19" s="13">
        <v>980007.08</v>
      </c>
      <c r="P19" s="13">
        <v>0</v>
      </c>
      <c r="Q19" s="13">
        <v>576.54999999999995</v>
      </c>
      <c r="R19" s="13">
        <v>2638.1</v>
      </c>
      <c r="S19" s="13">
        <v>190</v>
      </c>
      <c r="T19" s="13">
        <v>3205.4</v>
      </c>
      <c r="U19" s="13">
        <v>0</v>
      </c>
      <c r="V19" s="13">
        <v>54267.25</v>
      </c>
      <c r="W19" s="13">
        <v>0</v>
      </c>
      <c r="X19" s="13">
        <v>186128.8</v>
      </c>
      <c r="Y19" s="13">
        <v>758461.4</v>
      </c>
      <c r="Z19" s="13">
        <v>27970.15</v>
      </c>
      <c r="AA19" s="13">
        <v>140077.01</v>
      </c>
      <c r="AB19" s="13">
        <v>0</v>
      </c>
      <c r="AC19" s="13">
        <v>5463.5</v>
      </c>
      <c r="AD19" s="13">
        <v>194972.73</v>
      </c>
      <c r="AE19" s="13">
        <v>19832</v>
      </c>
      <c r="AF19" s="13">
        <f t="shared" si="7"/>
        <v>3309917.1599999997</v>
      </c>
      <c r="AG19" s="8">
        <v>16</v>
      </c>
    </row>
    <row r="20" spans="2:33" x14ac:dyDescent="0.2">
      <c r="C20" s="8">
        <v>313</v>
      </c>
      <c r="D20" s="8" t="s">
        <v>88</v>
      </c>
      <c r="E20" s="13">
        <v>29856.9</v>
      </c>
      <c r="F20" s="13">
        <v>439460.45</v>
      </c>
      <c r="G20" s="13">
        <v>8885.75</v>
      </c>
      <c r="H20" s="13">
        <v>2957148.41</v>
      </c>
      <c r="I20" s="13">
        <v>88438.399999999994</v>
      </c>
      <c r="J20" s="13">
        <v>31737.87</v>
      </c>
      <c r="K20" s="13">
        <v>185296</v>
      </c>
      <c r="L20" s="13">
        <v>89466.559999999998</v>
      </c>
      <c r="M20" s="13">
        <v>93552.6</v>
      </c>
      <c r="N20" s="13">
        <v>275640.40999999997</v>
      </c>
      <c r="O20" s="13">
        <v>79971.69</v>
      </c>
      <c r="P20" s="13">
        <v>1167.6300000000001</v>
      </c>
      <c r="Q20" s="13">
        <v>1498.15</v>
      </c>
      <c r="R20" s="13">
        <v>882</v>
      </c>
      <c r="S20" s="13">
        <v>389.8</v>
      </c>
      <c r="T20" s="13">
        <v>22213.1</v>
      </c>
      <c r="U20" s="13">
        <v>38141.14</v>
      </c>
      <c r="V20" s="13">
        <v>18895.7</v>
      </c>
      <c r="W20" s="13">
        <v>100</v>
      </c>
      <c r="X20" s="13">
        <v>80973</v>
      </c>
      <c r="Y20" s="13">
        <v>1759237.54</v>
      </c>
      <c r="Z20" s="13">
        <v>86094.84</v>
      </c>
      <c r="AA20" s="13">
        <v>122596.24</v>
      </c>
      <c r="AB20" s="13">
        <v>162547.49</v>
      </c>
      <c r="AC20" s="13">
        <v>5142</v>
      </c>
      <c r="AD20" s="13">
        <v>626856.81999999995</v>
      </c>
      <c r="AE20" s="13">
        <v>42553.4</v>
      </c>
      <c r="AF20" s="13">
        <f t="shared" si="7"/>
        <v>7248743.8900000015</v>
      </c>
      <c r="AG20" s="8">
        <v>17</v>
      </c>
    </row>
    <row r="21" spans="2:33" x14ac:dyDescent="0.2">
      <c r="C21" s="8">
        <v>314</v>
      </c>
      <c r="D21" s="8" t="s">
        <v>814</v>
      </c>
      <c r="E21" s="13">
        <v>25166</v>
      </c>
      <c r="F21" s="13">
        <v>212602.7</v>
      </c>
      <c r="G21" s="13">
        <v>10097.4</v>
      </c>
      <c r="H21" s="13">
        <v>645001.5</v>
      </c>
      <c r="I21" s="13">
        <v>0</v>
      </c>
      <c r="J21" s="13">
        <v>63335.7</v>
      </c>
      <c r="K21" s="13">
        <v>73158.600000000006</v>
      </c>
      <c r="L21" s="13">
        <v>70049.11</v>
      </c>
      <c r="M21" s="13">
        <v>0</v>
      </c>
      <c r="N21" s="13">
        <v>0</v>
      </c>
      <c r="O21" s="13">
        <v>106153.7</v>
      </c>
      <c r="P21" s="13">
        <v>16690.3</v>
      </c>
      <c r="Q21" s="13">
        <v>0</v>
      </c>
      <c r="R21" s="13">
        <v>4034.4</v>
      </c>
      <c r="S21" s="13">
        <v>250</v>
      </c>
      <c r="T21" s="13">
        <v>12428.05</v>
      </c>
      <c r="U21" s="13">
        <v>0</v>
      </c>
      <c r="V21" s="13">
        <v>52433.18</v>
      </c>
      <c r="W21" s="13">
        <v>0</v>
      </c>
      <c r="X21" s="13">
        <v>10507.5</v>
      </c>
      <c r="Y21" s="13">
        <v>129919.25</v>
      </c>
      <c r="Z21" s="13">
        <v>95360.85</v>
      </c>
      <c r="AA21" s="13">
        <v>111203.3</v>
      </c>
      <c r="AB21" s="13">
        <v>21733.55</v>
      </c>
      <c r="AC21" s="13">
        <v>0</v>
      </c>
      <c r="AD21" s="13">
        <v>188852.4</v>
      </c>
      <c r="AE21" s="13">
        <v>3198.55</v>
      </c>
      <c r="AF21" s="13">
        <f t="shared" si="7"/>
        <v>1852176.04</v>
      </c>
      <c r="AG21" s="8">
        <v>18</v>
      </c>
    </row>
    <row r="22" spans="2:33" x14ac:dyDescent="0.2">
      <c r="C22" s="8">
        <v>315</v>
      </c>
      <c r="D22" s="8" t="s">
        <v>89</v>
      </c>
      <c r="E22" s="13">
        <v>234.8</v>
      </c>
      <c r="F22" s="13">
        <v>-1648.87</v>
      </c>
      <c r="G22" s="13">
        <v>0</v>
      </c>
      <c r="H22" s="13">
        <v>89668.9</v>
      </c>
      <c r="I22" s="13">
        <v>0</v>
      </c>
      <c r="J22" s="13">
        <v>5461.95</v>
      </c>
      <c r="K22" s="13">
        <v>12035.35</v>
      </c>
      <c r="L22" s="13">
        <v>510.65</v>
      </c>
      <c r="M22" s="13">
        <v>4928.75</v>
      </c>
      <c r="N22" s="13">
        <v>0</v>
      </c>
      <c r="O22" s="13">
        <v>35485.26</v>
      </c>
      <c r="P22" s="13">
        <v>0</v>
      </c>
      <c r="Q22" s="13">
        <v>0</v>
      </c>
      <c r="R22" s="13">
        <v>0</v>
      </c>
      <c r="S22" s="13">
        <v>0</v>
      </c>
      <c r="T22" s="13">
        <v>0</v>
      </c>
      <c r="U22" s="13">
        <v>0</v>
      </c>
      <c r="V22" s="13">
        <v>4074.4</v>
      </c>
      <c r="W22" s="13">
        <v>0</v>
      </c>
      <c r="X22" s="13">
        <v>2004</v>
      </c>
      <c r="Y22" s="13">
        <v>169854.8</v>
      </c>
      <c r="Z22" s="13">
        <v>1051.9000000000001</v>
      </c>
      <c r="AA22" s="13">
        <v>40140.629999999997</v>
      </c>
      <c r="AB22" s="13">
        <v>0</v>
      </c>
      <c r="AC22" s="13">
        <v>538.5</v>
      </c>
      <c r="AD22" s="13">
        <v>45058.95</v>
      </c>
      <c r="AE22" s="13">
        <v>7810.4</v>
      </c>
      <c r="AF22" s="13">
        <f t="shared" si="7"/>
        <v>417210.37000000005</v>
      </c>
      <c r="AG22" s="8">
        <v>19</v>
      </c>
    </row>
    <row r="23" spans="2:33" x14ac:dyDescent="0.2">
      <c r="C23" s="8">
        <v>316</v>
      </c>
      <c r="D23" s="8" t="s">
        <v>90</v>
      </c>
      <c r="E23" s="13">
        <v>31656.45</v>
      </c>
      <c r="F23" s="13">
        <v>0</v>
      </c>
      <c r="G23" s="13">
        <v>0</v>
      </c>
      <c r="H23" s="13">
        <v>8391.7999999999993</v>
      </c>
      <c r="I23" s="13">
        <v>0</v>
      </c>
      <c r="J23" s="13">
        <v>14365.2</v>
      </c>
      <c r="K23" s="13">
        <v>219708.25</v>
      </c>
      <c r="L23" s="13">
        <v>0</v>
      </c>
      <c r="M23" s="13">
        <v>12575</v>
      </c>
      <c r="N23" s="13">
        <v>0</v>
      </c>
      <c r="O23" s="13">
        <v>0</v>
      </c>
      <c r="P23" s="13">
        <v>0</v>
      </c>
      <c r="Q23" s="13">
        <v>0</v>
      </c>
      <c r="R23" s="13">
        <v>0</v>
      </c>
      <c r="S23" s="13">
        <v>0</v>
      </c>
      <c r="T23" s="13">
        <v>0</v>
      </c>
      <c r="U23" s="13">
        <v>600</v>
      </c>
      <c r="V23" s="13">
        <v>41200</v>
      </c>
      <c r="W23" s="13">
        <v>0</v>
      </c>
      <c r="X23" s="13">
        <v>0</v>
      </c>
      <c r="Y23" s="13">
        <v>43091.37</v>
      </c>
      <c r="Z23" s="13">
        <v>4360.7</v>
      </c>
      <c r="AA23" s="13">
        <v>0</v>
      </c>
      <c r="AB23" s="13">
        <v>0</v>
      </c>
      <c r="AC23" s="13">
        <v>0</v>
      </c>
      <c r="AD23" s="13">
        <v>414539.07</v>
      </c>
      <c r="AE23" s="13">
        <v>0</v>
      </c>
      <c r="AF23" s="13">
        <f t="shared" si="7"/>
        <v>790487.84000000008</v>
      </c>
      <c r="AG23" s="8">
        <v>20</v>
      </c>
    </row>
    <row r="24" spans="2:33" x14ac:dyDescent="0.2">
      <c r="C24" s="8">
        <v>317</v>
      </c>
      <c r="D24" s="8" t="s">
        <v>91</v>
      </c>
      <c r="E24" s="13">
        <v>138549.6</v>
      </c>
      <c r="F24" s="13">
        <v>0</v>
      </c>
      <c r="G24" s="13">
        <v>0</v>
      </c>
      <c r="H24" s="13">
        <v>8978.0499999999993</v>
      </c>
      <c r="I24" s="13">
        <v>0</v>
      </c>
      <c r="J24" s="13">
        <v>114503.03999999999</v>
      </c>
      <c r="K24" s="13">
        <v>207246.12</v>
      </c>
      <c r="L24" s="13">
        <v>680.4</v>
      </c>
      <c r="M24" s="13">
        <v>71159.100000000006</v>
      </c>
      <c r="N24" s="13">
        <v>0</v>
      </c>
      <c r="O24" s="13">
        <v>7924.35</v>
      </c>
      <c r="P24" s="13">
        <v>0</v>
      </c>
      <c r="Q24" s="13">
        <v>0</v>
      </c>
      <c r="R24" s="13">
        <v>0</v>
      </c>
      <c r="S24" s="13">
        <v>0</v>
      </c>
      <c r="T24" s="13">
        <v>3087.65</v>
      </c>
      <c r="U24" s="13">
        <v>0</v>
      </c>
      <c r="V24" s="13">
        <v>26496.9</v>
      </c>
      <c r="W24" s="13">
        <v>0</v>
      </c>
      <c r="X24" s="13">
        <v>0</v>
      </c>
      <c r="Y24" s="13">
        <v>14560.6</v>
      </c>
      <c r="Z24" s="13">
        <v>0</v>
      </c>
      <c r="AA24" s="13">
        <v>0</v>
      </c>
      <c r="AB24" s="13">
        <v>0</v>
      </c>
      <c r="AC24" s="13">
        <v>343.7</v>
      </c>
      <c r="AD24" s="13">
        <v>368891.1</v>
      </c>
      <c r="AE24" s="13">
        <v>0</v>
      </c>
      <c r="AF24" s="13">
        <f t="shared" si="7"/>
        <v>962420.61</v>
      </c>
      <c r="AG24" s="8">
        <v>21</v>
      </c>
    </row>
    <row r="25" spans="2:33" x14ac:dyDescent="0.2">
      <c r="C25" s="8">
        <v>318</v>
      </c>
      <c r="D25" s="8" t="s">
        <v>92</v>
      </c>
      <c r="E25" s="13">
        <v>0</v>
      </c>
      <c r="F25" s="13">
        <v>0</v>
      </c>
      <c r="G25" s="13">
        <v>0</v>
      </c>
      <c r="H25" s="13">
        <v>28083.599999999999</v>
      </c>
      <c r="I25" s="13">
        <v>0</v>
      </c>
      <c r="J25" s="13">
        <v>0</v>
      </c>
      <c r="K25" s="13">
        <v>0</v>
      </c>
      <c r="L25" s="13">
        <v>0</v>
      </c>
      <c r="M25" s="13">
        <v>0</v>
      </c>
      <c r="N25" s="13">
        <v>0</v>
      </c>
      <c r="O25" s="13">
        <v>0</v>
      </c>
      <c r="P25" s="13">
        <v>0</v>
      </c>
      <c r="Q25" s="13">
        <v>0</v>
      </c>
      <c r="R25" s="13">
        <v>0</v>
      </c>
      <c r="S25" s="13">
        <v>150</v>
      </c>
      <c r="T25" s="13">
        <v>0</v>
      </c>
      <c r="U25" s="13">
        <v>8600</v>
      </c>
      <c r="V25" s="13">
        <v>0</v>
      </c>
      <c r="W25" s="13">
        <v>0</v>
      </c>
      <c r="X25" s="13">
        <v>0</v>
      </c>
      <c r="Y25" s="13">
        <v>5331</v>
      </c>
      <c r="Z25" s="13">
        <v>0</v>
      </c>
      <c r="AA25" s="13">
        <v>0</v>
      </c>
      <c r="AB25" s="13">
        <v>0</v>
      </c>
      <c r="AC25" s="13">
        <v>0</v>
      </c>
      <c r="AD25" s="13">
        <v>0</v>
      </c>
      <c r="AE25" s="13">
        <v>0</v>
      </c>
      <c r="AF25" s="13">
        <f t="shared" si="7"/>
        <v>42164.6</v>
      </c>
      <c r="AG25" s="8">
        <v>22</v>
      </c>
    </row>
    <row r="26" spans="2:33" x14ac:dyDescent="0.2">
      <c r="C26" s="8">
        <v>319</v>
      </c>
      <c r="D26" s="8" t="s">
        <v>93</v>
      </c>
      <c r="E26" s="13">
        <v>1765.75</v>
      </c>
      <c r="F26" s="13">
        <v>0</v>
      </c>
      <c r="G26" s="13">
        <v>0</v>
      </c>
      <c r="H26" s="13">
        <v>0</v>
      </c>
      <c r="I26" s="13">
        <v>0</v>
      </c>
      <c r="J26" s="13">
        <v>352</v>
      </c>
      <c r="K26" s="13">
        <v>0</v>
      </c>
      <c r="L26" s="13">
        <v>0</v>
      </c>
      <c r="M26" s="13">
        <v>0</v>
      </c>
      <c r="N26" s="13">
        <v>0</v>
      </c>
      <c r="O26" s="13">
        <v>52321.2</v>
      </c>
      <c r="P26" s="13">
        <v>618.91999999999996</v>
      </c>
      <c r="Q26" s="13">
        <v>0</v>
      </c>
      <c r="R26" s="13">
        <v>0</v>
      </c>
      <c r="S26" s="13">
        <v>0</v>
      </c>
      <c r="T26" s="13">
        <v>0</v>
      </c>
      <c r="U26" s="13">
        <v>0</v>
      </c>
      <c r="V26" s="13">
        <v>0</v>
      </c>
      <c r="W26" s="13">
        <v>0</v>
      </c>
      <c r="X26" s="13">
        <v>32951.65</v>
      </c>
      <c r="Y26" s="13">
        <v>0</v>
      </c>
      <c r="Z26" s="13">
        <v>0</v>
      </c>
      <c r="AA26" s="13">
        <v>365.63</v>
      </c>
      <c r="AB26" s="13">
        <v>0</v>
      </c>
      <c r="AC26" s="13">
        <v>0</v>
      </c>
      <c r="AD26" s="13">
        <v>582.79999999999995</v>
      </c>
      <c r="AE26" s="13">
        <v>0</v>
      </c>
      <c r="AF26" s="13">
        <f t="shared" si="7"/>
        <v>88957.95</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8">
        <v>24</v>
      </c>
    </row>
    <row r="28" spans="2:33" ht="15" x14ac:dyDescent="0.25">
      <c r="B28" s="75">
        <v>33</v>
      </c>
      <c r="C28" s="75"/>
      <c r="D28" s="75" t="s">
        <v>94</v>
      </c>
      <c r="E28" s="76">
        <f>E29+E30</f>
        <v>109720.13</v>
      </c>
      <c r="F28" s="76">
        <f t="shared" ref="F28:AF28" si="8">F29+F30</f>
        <v>3765096.8</v>
      </c>
      <c r="G28" s="76">
        <f t="shared" si="8"/>
        <v>0</v>
      </c>
      <c r="H28" s="76">
        <f t="shared" si="8"/>
        <v>336263.5</v>
      </c>
      <c r="I28" s="76">
        <f t="shared" si="8"/>
        <v>61520</v>
      </c>
      <c r="J28" s="76">
        <f t="shared" si="8"/>
        <v>367192.29</v>
      </c>
      <c r="K28" s="76">
        <f t="shared" si="8"/>
        <v>496532.7</v>
      </c>
      <c r="L28" s="76">
        <f t="shared" si="8"/>
        <v>188027.32</v>
      </c>
      <c r="M28" s="76">
        <f t="shared" si="8"/>
        <v>0</v>
      </c>
      <c r="N28" s="76">
        <f t="shared" si="8"/>
        <v>0</v>
      </c>
      <c r="O28" s="76">
        <f t="shared" si="8"/>
        <v>2958058.8</v>
      </c>
      <c r="P28" s="76">
        <f t="shared" si="8"/>
        <v>7500</v>
      </c>
      <c r="Q28" s="76">
        <f t="shared" si="8"/>
        <v>2800</v>
      </c>
      <c r="R28" s="76">
        <f t="shared" si="8"/>
        <v>0</v>
      </c>
      <c r="S28" s="76">
        <f t="shared" si="8"/>
        <v>0</v>
      </c>
      <c r="T28" s="76">
        <f t="shared" ref="T28" si="9">T29+T30</f>
        <v>5700</v>
      </c>
      <c r="U28" s="76">
        <f t="shared" si="8"/>
        <v>0</v>
      </c>
      <c r="V28" s="76">
        <f t="shared" si="8"/>
        <v>66895</v>
      </c>
      <c r="W28" s="76">
        <f t="shared" si="8"/>
        <v>0</v>
      </c>
      <c r="X28" s="76">
        <f t="shared" si="8"/>
        <v>138333.54999999999</v>
      </c>
      <c r="Y28" s="76">
        <f t="shared" si="8"/>
        <v>618010.81000000006</v>
      </c>
      <c r="Z28" s="76">
        <f t="shared" si="8"/>
        <v>95000</v>
      </c>
      <c r="AA28" s="76">
        <f t="shared" si="8"/>
        <v>158947.26999999999</v>
      </c>
      <c r="AB28" s="76">
        <f t="shared" si="8"/>
        <v>0</v>
      </c>
      <c r="AC28" s="76">
        <f t="shared" si="8"/>
        <v>0</v>
      </c>
      <c r="AD28" s="76">
        <f t="shared" si="8"/>
        <v>373214.55</v>
      </c>
      <c r="AE28" s="76">
        <f t="shared" si="8"/>
        <v>0</v>
      </c>
      <c r="AF28" s="76">
        <f t="shared" si="8"/>
        <v>9748812.7200000007</v>
      </c>
      <c r="AG28" s="8">
        <v>25</v>
      </c>
    </row>
    <row r="29" spans="2:33" x14ac:dyDescent="0.2">
      <c r="C29" s="8">
        <v>330</v>
      </c>
      <c r="D29" s="8" t="s">
        <v>96</v>
      </c>
      <c r="E29" s="13">
        <v>109720.13</v>
      </c>
      <c r="F29" s="13">
        <v>3765096.8</v>
      </c>
      <c r="G29" s="13">
        <v>0</v>
      </c>
      <c r="H29" s="13">
        <v>336263.5</v>
      </c>
      <c r="I29" s="13">
        <v>61520</v>
      </c>
      <c r="J29" s="13">
        <v>367192.29</v>
      </c>
      <c r="K29" s="13">
        <v>496532.7</v>
      </c>
      <c r="L29" s="13">
        <v>188027.32</v>
      </c>
      <c r="M29" s="13">
        <v>0</v>
      </c>
      <c r="N29" s="13">
        <v>0</v>
      </c>
      <c r="O29" s="13">
        <v>2954008.8</v>
      </c>
      <c r="P29" s="13">
        <v>7500</v>
      </c>
      <c r="Q29" s="13">
        <v>2800</v>
      </c>
      <c r="R29" s="13">
        <v>0</v>
      </c>
      <c r="S29" s="13">
        <v>0</v>
      </c>
      <c r="T29" s="13">
        <v>5700</v>
      </c>
      <c r="U29" s="13">
        <v>0</v>
      </c>
      <c r="V29" s="13">
        <v>66895</v>
      </c>
      <c r="W29" s="13">
        <v>0</v>
      </c>
      <c r="X29" s="13">
        <v>138333.54999999999</v>
      </c>
      <c r="Y29" s="13">
        <v>618010.81000000006</v>
      </c>
      <c r="Z29" s="13">
        <v>95000</v>
      </c>
      <c r="AA29" s="13">
        <v>158947.26999999999</v>
      </c>
      <c r="AB29" s="13">
        <v>0</v>
      </c>
      <c r="AC29" s="13">
        <v>0</v>
      </c>
      <c r="AD29" s="13">
        <v>373214.55</v>
      </c>
      <c r="AE29" s="13">
        <v>0</v>
      </c>
      <c r="AF29" s="13">
        <f>SUM(E29:AE29)</f>
        <v>9744762.7200000007</v>
      </c>
      <c r="AG29" s="8">
        <v>26</v>
      </c>
    </row>
    <row r="30" spans="2:33" x14ac:dyDescent="0.2">
      <c r="C30" s="8">
        <v>332</v>
      </c>
      <c r="D30" s="8" t="s">
        <v>95</v>
      </c>
      <c r="E30" s="13">
        <v>0</v>
      </c>
      <c r="F30" s="13">
        <v>0</v>
      </c>
      <c r="G30" s="13">
        <v>0</v>
      </c>
      <c r="H30" s="13">
        <v>0</v>
      </c>
      <c r="I30" s="13">
        <v>0</v>
      </c>
      <c r="J30" s="13">
        <v>0</v>
      </c>
      <c r="K30" s="13">
        <v>0</v>
      </c>
      <c r="L30" s="13">
        <v>0</v>
      </c>
      <c r="M30" s="13">
        <v>0</v>
      </c>
      <c r="N30" s="13">
        <v>0</v>
      </c>
      <c r="O30" s="13">
        <v>4050</v>
      </c>
      <c r="P30" s="13">
        <v>0</v>
      </c>
      <c r="Q30" s="13">
        <v>0</v>
      </c>
      <c r="R30" s="13">
        <v>0</v>
      </c>
      <c r="S30" s="13">
        <v>0</v>
      </c>
      <c r="T30" s="13">
        <v>0</v>
      </c>
      <c r="U30" s="13">
        <v>0</v>
      </c>
      <c r="V30" s="13">
        <v>0</v>
      </c>
      <c r="W30" s="13">
        <v>0</v>
      </c>
      <c r="X30" s="13">
        <v>0</v>
      </c>
      <c r="Y30" s="13">
        <v>0</v>
      </c>
      <c r="Z30" s="13">
        <v>0</v>
      </c>
      <c r="AA30" s="13">
        <v>0</v>
      </c>
      <c r="AB30" s="13">
        <v>0</v>
      </c>
      <c r="AC30" s="13">
        <v>0</v>
      </c>
      <c r="AD30" s="13">
        <v>0</v>
      </c>
      <c r="AE30" s="13">
        <v>0</v>
      </c>
      <c r="AF30" s="13">
        <f>SUM(E30:AE30)</f>
        <v>4050</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5">
        <v>34</v>
      </c>
      <c r="C32" s="75"/>
      <c r="D32" s="75" t="s">
        <v>97</v>
      </c>
      <c r="E32" s="76">
        <f>E33+E34+E35+E36+E37+E38</f>
        <v>28987.15</v>
      </c>
      <c r="F32" s="76">
        <f t="shared" ref="F32:AF32" si="10">F33+F34+F35+F36+F37+F38</f>
        <v>-808.66</v>
      </c>
      <c r="G32" s="76">
        <f t="shared" si="10"/>
        <v>0</v>
      </c>
      <c r="H32" s="76">
        <f t="shared" si="10"/>
        <v>19.350000000000001</v>
      </c>
      <c r="I32" s="76">
        <f t="shared" si="10"/>
        <v>3.95</v>
      </c>
      <c r="J32" s="76">
        <f t="shared" si="10"/>
        <v>48533.599999999999</v>
      </c>
      <c r="K32" s="76">
        <f t="shared" si="10"/>
        <v>157153.29999999999</v>
      </c>
      <c r="L32" s="76">
        <f t="shared" si="10"/>
        <v>75029.279999999999</v>
      </c>
      <c r="M32" s="76">
        <f t="shared" si="10"/>
        <v>183.9</v>
      </c>
      <c r="N32" s="76">
        <f t="shared" si="10"/>
        <v>0</v>
      </c>
      <c r="O32" s="76">
        <f t="shared" si="10"/>
        <v>0</v>
      </c>
      <c r="P32" s="76">
        <f t="shared" si="10"/>
        <v>0</v>
      </c>
      <c r="Q32" s="76">
        <f t="shared" si="10"/>
        <v>110.7</v>
      </c>
      <c r="R32" s="76">
        <f t="shared" si="10"/>
        <v>0</v>
      </c>
      <c r="S32" s="76">
        <f t="shared" si="10"/>
        <v>15.6</v>
      </c>
      <c r="T32" s="76">
        <f t="shared" ref="T32" si="11">T33+T34+T35+T36+T37+T38</f>
        <v>30388.95</v>
      </c>
      <c r="U32" s="76">
        <f t="shared" si="10"/>
        <v>60693.399999999994</v>
      </c>
      <c r="V32" s="76">
        <f t="shared" si="10"/>
        <v>16018.49</v>
      </c>
      <c r="W32" s="76">
        <f t="shared" si="10"/>
        <v>29.7</v>
      </c>
      <c r="X32" s="76">
        <f t="shared" si="10"/>
        <v>12247.95</v>
      </c>
      <c r="Y32" s="76">
        <f t="shared" si="10"/>
        <v>271884.58</v>
      </c>
      <c r="Z32" s="76">
        <f t="shared" si="10"/>
        <v>25074.75</v>
      </c>
      <c r="AA32" s="76">
        <f t="shared" si="10"/>
        <v>37139.480000000003</v>
      </c>
      <c r="AB32" s="76">
        <f t="shared" si="10"/>
        <v>0</v>
      </c>
      <c r="AC32" s="76">
        <f t="shared" si="10"/>
        <v>0</v>
      </c>
      <c r="AD32" s="76">
        <f t="shared" si="10"/>
        <v>69212.78</v>
      </c>
      <c r="AE32" s="76">
        <f t="shared" si="10"/>
        <v>0</v>
      </c>
      <c r="AF32" s="76">
        <f t="shared" si="10"/>
        <v>831918.24999999988</v>
      </c>
      <c r="AG32" s="8">
        <v>29</v>
      </c>
    </row>
    <row r="33" spans="2:33" x14ac:dyDescent="0.2">
      <c r="C33" s="8">
        <v>340</v>
      </c>
      <c r="D33" s="8" t="s">
        <v>98</v>
      </c>
      <c r="E33" s="13">
        <v>28987.15</v>
      </c>
      <c r="F33" s="13">
        <v>192.74</v>
      </c>
      <c r="G33" s="13">
        <v>0</v>
      </c>
      <c r="H33" s="13">
        <v>0</v>
      </c>
      <c r="I33" s="13">
        <v>3.95</v>
      </c>
      <c r="J33" s="13">
        <v>48533.599999999999</v>
      </c>
      <c r="K33" s="13">
        <v>157153.29999999999</v>
      </c>
      <c r="L33" s="13">
        <v>75029.279999999999</v>
      </c>
      <c r="M33" s="13">
        <v>183.9</v>
      </c>
      <c r="N33" s="13">
        <v>0</v>
      </c>
      <c r="O33" s="13">
        <v>0</v>
      </c>
      <c r="P33" s="13">
        <v>0</v>
      </c>
      <c r="Q33" s="13">
        <v>110.7</v>
      </c>
      <c r="R33" s="13">
        <v>0</v>
      </c>
      <c r="S33" s="13">
        <v>15.6</v>
      </c>
      <c r="T33" s="13">
        <v>60</v>
      </c>
      <c r="U33" s="13">
        <v>28696.05</v>
      </c>
      <c r="V33" s="13">
        <v>16018.49</v>
      </c>
      <c r="W33" s="13">
        <v>29.7</v>
      </c>
      <c r="X33" s="13">
        <v>12247.95</v>
      </c>
      <c r="Y33" s="13">
        <v>271884.58</v>
      </c>
      <c r="Z33" s="13">
        <v>25074.75</v>
      </c>
      <c r="AA33" s="13">
        <v>37139.480000000003</v>
      </c>
      <c r="AB33" s="13">
        <v>0</v>
      </c>
      <c r="AC33" s="13">
        <v>0</v>
      </c>
      <c r="AD33" s="13">
        <v>69212.78</v>
      </c>
      <c r="AE33" s="13">
        <v>0</v>
      </c>
      <c r="AF33" s="13">
        <f t="shared" ref="AF33:AF38" si="12">SUM(E33:AE33)</f>
        <v>770574</v>
      </c>
      <c r="AG33" s="8">
        <v>30</v>
      </c>
    </row>
    <row r="34" spans="2:33"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328.95</v>
      </c>
      <c r="U34" s="13">
        <v>0</v>
      </c>
      <c r="V34" s="13">
        <v>0</v>
      </c>
      <c r="W34" s="13">
        <v>0</v>
      </c>
      <c r="X34" s="13">
        <v>0</v>
      </c>
      <c r="Y34" s="13">
        <v>0</v>
      </c>
      <c r="Z34" s="13">
        <v>0</v>
      </c>
      <c r="AA34" s="13">
        <v>0</v>
      </c>
      <c r="AB34" s="13">
        <v>0</v>
      </c>
      <c r="AC34" s="13">
        <v>0</v>
      </c>
      <c r="AD34" s="13">
        <v>0</v>
      </c>
      <c r="AE34" s="13">
        <v>0</v>
      </c>
      <c r="AF34" s="13">
        <f t="shared" si="12"/>
        <v>328.95</v>
      </c>
      <c r="AG34" s="8">
        <v>31</v>
      </c>
    </row>
    <row r="35" spans="2:33"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f t="shared" si="12"/>
        <v>0</v>
      </c>
      <c r="AG35" s="8">
        <v>32</v>
      </c>
    </row>
    <row r="36" spans="2:33" x14ac:dyDescent="0.2">
      <c r="C36" s="8">
        <v>343</v>
      </c>
      <c r="D36" s="8" t="s">
        <v>101</v>
      </c>
      <c r="E36" s="13">
        <v>0</v>
      </c>
      <c r="F36" s="13">
        <v>0</v>
      </c>
      <c r="G36" s="13">
        <v>0</v>
      </c>
      <c r="H36" s="13">
        <v>0</v>
      </c>
      <c r="I36" s="13">
        <v>0</v>
      </c>
      <c r="J36" s="13">
        <v>0</v>
      </c>
      <c r="K36" s="13">
        <v>0</v>
      </c>
      <c r="L36" s="13">
        <v>0</v>
      </c>
      <c r="M36" s="13">
        <v>0</v>
      </c>
      <c r="N36" s="13">
        <v>0</v>
      </c>
      <c r="O36" s="13">
        <v>0</v>
      </c>
      <c r="P36" s="13">
        <v>0</v>
      </c>
      <c r="Q36" s="13">
        <v>0</v>
      </c>
      <c r="R36" s="13">
        <v>0</v>
      </c>
      <c r="S36" s="13">
        <v>0</v>
      </c>
      <c r="T36" s="13">
        <v>30000</v>
      </c>
      <c r="U36" s="13">
        <v>31997.35</v>
      </c>
      <c r="V36" s="13">
        <v>0</v>
      </c>
      <c r="W36" s="13">
        <v>0</v>
      </c>
      <c r="X36" s="13">
        <v>0</v>
      </c>
      <c r="Y36" s="13">
        <v>0</v>
      </c>
      <c r="Z36" s="13">
        <v>0</v>
      </c>
      <c r="AA36" s="13">
        <v>0</v>
      </c>
      <c r="AB36" s="13">
        <v>0</v>
      </c>
      <c r="AC36" s="13">
        <v>0</v>
      </c>
      <c r="AD36" s="13">
        <v>0</v>
      </c>
      <c r="AE36" s="13">
        <v>0</v>
      </c>
      <c r="AF36" s="13">
        <f t="shared" si="12"/>
        <v>61997.35</v>
      </c>
      <c r="AG36" s="8">
        <v>33</v>
      </c>
    </row>
    <row r="37" spans="2:33" x14ac:dyDescent="0.2">
      <c r="C37" s="8">
        <v>344</v>
      </c>
      <c r="D37" s="8" t="s">
        <v>102</v>
      </c>
      <c r="E37" s="13">
        <v>0</v>
      </c>
      <c r="F37" s="13">
        <v>0</v>
      </c>
      <c r="G37" s="13">
        <v>0</v>
      </c>
      <c r="H37" s="13">
        <v>0</v>
      </c>
      <c r="I37" s="13">
        <v>0</v>
      </c>
      <c r="J37" s="13">
        <v>0</v>
      </c>
      <c r="K37" s="13">
        <v>0</v>
      </c>
      <c r="L37" s="13">
        <v>0</v>
      </c>
      <c r="M37" s="13">
        <v>0</v>
      </c>
      <c r="N37" s="13">
        <v>0</v>
      </c>
      <c r="O37" s="13">
        <v>0</v>
      </c>
      <c r="P37" s="13">
        <v>0</v>
      </c>
      <c r="Q37" s="13">
        <v>0</v>
      </c>
      <c r="R37" s="13">
        <v>0</v>
      </c>
      <c r="S37" s="13">
        <v>0</v>
      </c>
      <c r="T37" s="13">
        <v>0</v>
      </c>
      <c r="U37" s="13">
        <v>0</v>
      </c>
      <c r="V37" s="13">
        <v>0</v>
      </c>
      <c r="W37" s="13">
        <v>0</v>
      </c>
      <c r="X37" s="13">
        <v>0</v>
      </c>
      <c r="Y37" s="13">
        <v>0</v>
      </c>
      <c r="Z37" s="13">
        <v>0</v>
      </c>
      <c r="AA37" s="13">
        <v>0</v>
      </c>
      <c r="AB37" s="13">
        <v>0</v>
      </c>
      <c r="AC37" s="13">
        <v>0</v>
      </c>
      <c r="AD37" s="13">
        <v>0</v>
      </c>
      <c r="AE37" s="13">
        <v>0</v>
      </c>
      <c r="AF37" s="13">
        <f t="shared" si="12"/>
        <v>0</v>
      </c>
      <c r="AG37" s="8">
        <v>34</v>
      </c>
    </row>
    <row r="38" spans="2:33" x14ac:dyDescent="0.2">
      <c r="C38" s="8">
        <v>349</v>
      </c>
      <c r="D38" s="8" t="s">
        <v>103</v>
      </c>
      <c r="E38" s="13">
        <v>0</v>
      </c>
      <c r="F38" s="13">
        <v>-1001.4</v>
      </c>
      <c r="G38" s="13">
        <v>0</v>
      </c>
      <c r="H38" s="13">
        <v>19.350000000000001</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f t="shared" si="12"/>
        <v>-982.05</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5">
        <v>35</v>
      </c>
      <c r="C40" s="75"/>
      <c r="D40" s="75" t="s">
        <v>105</v>
      </c>
      <c r="E40" s="76">
        <f>E41+E42</f>
        <v>0</v>
      </c>
      <c r="F40" s="76">
        <f t="shared" ref="F40:AF40" si="13">F41+F42</f>
        <v>1462000</v>
      </c>
      <c r="G40" s="76">
        <f t="shared" si="13"/>
        <v>0</v>
      </c>
      <c r="H40" s="76">
        <f t="shared" si="13"/>
        <v>250000</v>
      </c>
      <c r="I40" s="76">
        <f t="shared" si="13"/>
        <v>0</v>
      </c>
      <c r="J40" s="76">
        <f t="shared" si="13"/>
        <v>0</v>
      </c>
      <c r="K40" s="76">
        <f t="shared" si="13"/>
        <v>0</v>
      </c>
      <c r="L40" s="76">
        <f t="shared" si="13"/>
        <v>0</v>
      </c>
      <c r="M40" s="76">
        <f t="shared" si="13"/>
        <v>0</v>
      </c>
      <c r="N40" s="76">
        <f t="shared" si="13"/>
        <v>0</v>
      </c>
      <c r="O40" s="76">
        <f t="shared" si="13"/>
        <v>465000</v>
      </c>
      <c r="P40" s="76">
        <f t="shared" si="13"/>
        <v>0</v>
      </c>
      <c r="Q40" s="76">
        <f t="shared" si="13"/>
        <v>0</v>
      </c>
      <c r="R40" s="76">
        <f t="shared" si="13"/>
        <v>0</v>
      </c>
      <c r="S40" s="76">
        <f t="shared" si="13"/>
        <v>0</v>
      </c>
      <c r="T40" s="76">
        <f t="shared" ref="T40" si="14">T41+T42</f>
        <v>0</v>
      </c>
      <c r="U40" s="76">
        <f t="shared" si="13"/>
        <v>1000</v>
      </c>
      <c r="V40" s="76">
        <f t="shared" si="13"/>
        <v>0</v>
      </c>
      <c r="W40" s="76">
        <f t="shared" si="13"/>
        <v>0</v>
      </c>
      <c r="X40" s="76">
        <f t="shared" si="13"/>
        <v>200000</v>
      </c>
      <c r="Y40" s="76">
        <f t="shared" si="13"/>
        <v>0</v>
      </c>
      <c r="Z40" s="76">
        <f t="shared" si="13"/>
        <v>0</v>
      </c>
      <c r="AA40" s="76">
        <f t="shared" si="13"/>
        <v>894520</v>
      </c>
      <c r="AB40" s="76">
        <f t="shared" si="13"/>
        <v>0</v>
      </c>
      <c r="AC40" s="76">
        <f t="shared" si="13"/>
        <v>41373.519999999997</v>
      </c>
      <c r="AD40" s="76">
        <f t="shared" si="13"/>
        <v>0</v>
      </c>
      <c r="AE40" s="76">
        <f t="shared" si="13"/>
        <v>88000</v>
      </c>
      <c r="AF40" s="76">
        <f t="shared" si="13"/>
        <v>3401893.52</v>
      </c>
      <c r="AG40" s="8">
        <v>37</v>
      </c>
    </row>
    <row r="41" spans="2:33" x14ac:dyDescent="0.2">
      <c r="C41" s="8">
        <v>350</v>
      </c>
      <c r="D41" s="8" t="s">
        <v>105</v>
      </c>
      <c r="E41" s="13">
        <v>0</v>
      </c>
      <c r="F41" s="13">
        <v>0</v>
      </c>
      <c r="G41" s="13">
        <v>0</v>
      </c>
      <c r="H41" s="13">
        <v>250000</v>
      </c>
      <c r="I41" s="13">
        <v>0</v>
      </c>
      <c r="J41" s="13">
        <v>0</v>
      </c>
      <c r="K41" s="13">
        <v>0</v>
      </c>
      <c r="L41" s="13">
        <v>0</v>
      </c>
      <c r="M41" s="13">
        <v>0</v>
      </c>
      <c r="N41" s="13">
        <v>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f t="shared" ref="AF41:AF42" si="15">SUM(E41:AE41)</f>
        <v>250000</v>
      </c>
      <c r="AG41" s="8">
        <v>38</v>
      </c>
    </row>
    <row r="42" spans="2:33" x14ac:dyDescent="0.2">
      <c r="C42" s="8">
        <v>351</v>
      </c>
      <c r="D42" s="8" t="s">
        <v>104</v>
      </c>
      <c r="E42" s="13">
        <v>0</v>
      </c>
      <c r="F42" s="13">
        <v>1462000</v>
      </c>
      <c r="G42" s="13">
        <v>0</v>
      </c>
      <c r="H42" s="13">
        <v>0</v>
      </c>
      <c r="I42" s="13">
        <v>0</v>
      </c>
      <c r="J42" s="13">
        <v>0</v>
      </c>
      <c r="K42" s="13">
        <v>0</v>
      </c>
      <c r="L42" s="13">
        <v>0</v>
      </c>
      <c r="M42" s="13">
        <v>0</v>
      </c>
      <c r="N42" s="13">
        <v>0</v>
      </c>
      <c r="O42" s="13">
        <v>465000</v>
      </c>
      <c r="P42" s="13">
        <v>0</v>
      </c>
      <c r="Q42" s="13">
        <v>0</v>
      </c>
      <c r="R42" s="13">
        <v>0</v>
      </c>
      <c r="S42" s="13">
        <v>0</v>
      </c>
      <c r="T42" s="13">
        <v>0</v>
      </c>
      <c r="U42" s="13">
        <v>1000</v>
      </c>
      <c r="V42" s="13">
        <v>0</v>
      </c>
      <c r="W42" s="13">
        <v>0</v>
      </c>
      <c r="X42" s="13">
        <v>200000</v>
      </c>
      <c r="Y42" s="13">
        <v>0</v>
      </c>
      <c r="Z42" s="13">
        <v>0</v>
      </c>
      <c r="AA42" s="13">
        <v>894520</v>
      </c>
      <c r="AB42" s="13">
        <v>0</v>
      </c>
      <c r="AC42" s="13">
        <v>41373.519999999997</v>
      </c>
      <c r="AD42" s="13">
        <v>0</v>
      </c>
      <c r="AE42" s="13">
        <v>88000</v>
      </c>
      <c r="AF42" s="13">
        <f t="shared" si="15"/>
        <v>3151893.52</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5">
        <v>36</v>
      </c>
      <c r="C44" s="75"/>
      <c r="D44" s="75" t="s">
        <v>106</v>
      </c>
      <c r="E44" s="76">
        <f>E45+E46+E47+E48+E49+E50+E51+E52</f>
        <v>0</v>
      </c>
      <c r="F44" s="76">
        <f t="shared" ref="F44:AF44" si="16">F45+F46+F47+F48+F49+F50+F51+F52</f>
        <v>6774.75</v>
      </c>
      <c r="G44" s="76">
        <f t="shared" si="16"/>
        <v>0</v>
      </c>
      <c r="H44" s="76">
        <f t="shared" si="16"/>
        <v>1446965.45</v>
      </c>
      <c r="I44" s="76">
        <f t="shared" si="16"/>
        <v>0</v>
      </c>
      <c r="J44" s="76">
        <f t="shared" si="16"/>
        <v>0</v>
      </c>
      <c r="K44" s="76">
        <f t="shared" si="16"/>
        <v>0</v>
      </c>
      <c r="L44" s="76">
        <f t="shared" si="16"/>
        <v>0</v>
      </c>
      <c r="M44" s="76">
        <f t="shared" si="16"/>
        <v>0</v>
      </c>
      <c r="N44" s="76">
        <f t="shared" si="16"/>
        <v>8100</v>
      </c>
      <c r="O44" s="76">
        <f t="shared" si="16"/>
        <v>0</v>
      </c>
      <c r="P44" s="76">
        <f t="shared" si="16"/>
        <v>0</v>
      </c>
      <c r="Q44" s="76">
        <f t="shared" si="16"/>
        <v>0</v>
      </c>
      <c r="R44" s="76">
        <f t="shared" si="16"/>
        <v>0</v>
      </c>
      <c r="S44" s="76">
        <f t="shared" si="16"/>
        <v>0</v>
      </c>
      <c r="T44" s="76">
        <f t="shared" ref="T44" si="17">T45+T46+T47+T48+T49+T50+T51+T52</f>
        <v>539886.20000000007</v>
      </c>
      <c r="U44" s="76">
        <f t="shared" si="16"/>
        <v>0</v>
      </c>
      <c r="V44" s="76">
        <f t="shared" si="16"/>
        <v>23420.6</v>
      </c>
      <c r="W44" s="76">
        <f t="shared" si="16"/>
        <v>0</v>
      </c>
      <c r="X44" s="76">
        <f t="shared" si="16"/>
        <v>0</v>
      </c>
      <c r="Y44" s="76">
        <f t="shared" si="16"/>
        <v>618547.05000000005</v>
      </c>
      <c r="Z44" s="76">
        <f t="shared" si="16"/>
        <v>0</v>
      </c>
      <c r="AA44" s="76">
        <f t="shared" si="16"/>
        <v>0</v>
      </c>
      <c r="AB44" s="76">
        <f t="shared" si="16"/>
        <v>10341</v>
      </c>
      <c r="AC44" s="76">
        <f t="shared" si="16"/>
        <v>109202.96</v>
      </c>
      <c r="AD44" s="76">
        <f t="shared" si="16"/>
        <v>0</v>
      </c>
      <c r="AE44" s="76">
        <f t="shared" si="16"/>
        <v>9603</v>
      </c>
      <c r="AF44" s="76">
        <f t="shared" si="16"/>
        <v>2772841.0100000002</v>
      </c>
      <c r="AG44" s="8">
        <v>41</v>
      </c>
    </row>
    <row r="45" spans="2:33" x14ac:dyDescent="0.2">
      <c r="C45" s="8">
        <v>360</v>
      </c>
      <c r="D45" s="8" t="s">
        <v>107</v>
      </c>
      <c r="E45" s="13">
        <v>0</v>
      </c>
      <c r="F45" s="13">
        <v>0</v>
      </c>
      <c r="G45" s="13">
        <v>0</v>
      </c>
      <c r="H45" s="13">
        <v>788390</v>
      </c>
      <c r="I45" s="13">
        <v>0</v>
      </c>
      <c r="J45" s="13">
        <v>0</v>
      </c>
      <c r="K45" s="13">
        <v>0</v>
      </c>
      <c r="L45" s="13">
        <v>0</v>
      </c>
      <c r="M45" s="13">
        <v>0</v>
      </c>
      <c r="N45" s="13">
        <v>100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f t="shared" ref="AF45:AF52" si="18">SUM(E45:AE45)</f>
        <v>788490</v>
      </c>
      <c r="AG45" s="8">
        <v>42</v>
      </c>
    </row>
    <row r="46" spans="2:33" x14ac:dyDescent="0.2">
      <c r="C46" s="8">
        <v>361</v>
      </c>
      <c r="D46" s="8" t="s">
        <v>108</v>
      </c>
      <c r="E46" s="13">
        <v>0</v>
      </c>
      <c r="F46" s="13">
        <v>0</v>
      </c>
      <c r="G46" s="13">
        <v>0</v>
      </c>
      <c r="H46" s="13">
        <v>651541.9</v>
      </c>
      <c r="I46" s="13">
        <v>0</v>
      </c>
      <c r="J46" s="13">
        <v>0</v>
      </c>
      <c r="K46" s="13">
        <v>0</v>
      </c>
      <c r="L46" s="13">
        <v>0</v>
      </c>
      <c r="M46" s="13">
        <v>0</v>
      </c>
      <c r="N46" s="13">
        <v>0</v>
      </c>
      <c r="O46" s="13">
        <v>0</v>
      </c>
      <c r="P46" s="13">
        <v>0</v>
      </c>
      <c r="Q46" s="13">
        <v>0</v>
      </c>
      <c r="R46" s="13">
        <v>0</v>
      </c>
      <c r="S46" s="13">
        <v>0</v>
      </c>
      <c r="T46" s="13">
        <v>531191.4</v>
      </c>
      <c r="U46" s="13">
        <v>0</v>
      </c>
      <c r="V46" s="13">
        <v>23420.6</v>
      </c>
      <c r="W46" s="13">
        <v>0</v>
      </c>
      <c r="X46" s="13">
        <v>0</v>
      </c>
      <c r="Y46" s="13">
        <v>416414.55</v>
      </c>
      <c r="Z46" s="13">
        <v>0</v>
      </c>
      <c r="AA46" s="13">
        <v>0</v>
      </c>
      <c r="AB46" s="13">
        <v>0</v>
      </c>
      <c r="AC46" s="13">
        <v>109202.96</v>
      </c>
      <c r="AD46" s="13">
        <v>0</v>
      </c>
      <c r="AE46" s="13">
        <v>0</v>
      </c>
      <c r="AF46" s="13">
        <f t="shared" si="18"/>
        <v>1731771.4100000001</v>
      </c>
      <c r="AG46" s="8">
        <v>43</v>
      </c>
    </row>
    <row r="47" spans="2:33"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f t="shared" si="18"/>
        <v>0</v>
      </c>
      <c r="AG47" s="8">
        <v>44</v>
      </c>
    </row>
    <row r="48" spans="2:33" x14ac:dyDescent="0.2">
      <c r="C48" s="8">
        <v>363</v>
      </c>
      <c r="D48" s="8" t="s">
        <v>110</v>
      </c>
      <c r="E48" s="13">
        <v>0</v>
      </c>
      <c r="F48" s="13">
        <v>6774.75</v>
      </c>
      <c r="G48" s="13">
        <v>0</v>
      </c>
      <c r="H48" s="13">
        <v>7033.55</v>
      </c>
      <c r="I48" s="13">
        <v>0</v>
      </c>
      <c r="J48" s="13">
        <v>0</v>
      </c>
      <c r="K48" s="13">
        <v>0</v>
      </c>
      <c r="L48" s="13">
        <v>0</v>
      </c>
      <c r="M48" s="13">
        <v>0</v>
      </c>
      <c r="N48" s="13">
        <v>8000</v>
      </c>
      <c r="O48" s="13">
        <v>0</v>
      </c>
      <c r="P48" s="13">
        <v>0</v>
      </c>
      <c r="Q48" s="13">
        <v>0</v>
      </c>
      <c r="R48" s="13">
        <v>0</v>
      </c>
      <c r="S48" s="13">
        <v>0</v>
      </c>
      <c r="T48" s="13">
        <v>8694.7999999999993</v>
      </c>
      <c r="U48" s="13">
        <v>0</v>
      </c>
      <c r="V48" s="13">
        <v>0</v>
      </c>
      <c r="W48" s="13">
        <v>0</v>
      </c>
      <c r="X48" s="13">
        <v>0</v>
      </c>
      <c r="Y48" s="13">
        <v>202132.5</v>
      </c>
      <c r="Z48" s="13">
        <v>0</v>
      </c>
      <c r="AA48" s="13">
        <v>0</v>
      </c>
      <c r="AB48" s="13">
        <v>0</v>
      </c>
      <c r="AC48" s="13">
        <v>0</v>
      </c>
      <c r="AD48" s="13">
        <v>0</v>
      </c>
      <c r="AE48" s="13">
        <v>0</v>
      </c>
      <c r="AF48" s="13">
        <f t="shared" si="18"/>
        <v>232635.6</v>
      </c>
      <c r="AG48" s="8">
        <v>45</v>
      </c>
    </row>
    <row r="49" spans="2:33"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f t="shared" si="18"/>
        <v>0</v>
      </c>
      <c r="AG49" s="8">
        <v>46</v>
      </c>
    </row>
    <row r="50" spans="2:33"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0</v>
      </c>
      <c r="V50" s="13">
        <v>0</v>
      </c>
      <c r="W50" s="13">
        <v>0</v>
      </c>
      <c r="X50" s="13">
        <v>0</v>
      </c>
      <c r="Y50" s="13">
        <v>0</v>
      </c>
      <c r="Z50" s="13">
        <v>0</v>
      </c>
      <c r="AA50" s="13">
        <v>0</v>
      </c>
      <c r="AB50" s="13">
        <v>0</v>
      </c>
      <c r="AC50" s="13">
        <v>0</v>
      </c>
      <c r="AD50" s="13">
        <v>0</v>
      </c>
      <c r="AE50" s="13">
        <v>0</v>
      </c>
      <c r="AF50" s="13">
        <f t="shared" si="18"/>
        <v>0</v>
      </c>
      <c r="AG50" s="8">
        <v>47</v>
      </c>
    </row>
    <row r="51" spans="2:33"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f t="shared" si="18"/>
        <v>0</v>
      </c>
      <c r="AG51" s="8">
        <v>48</v>
      </c>
    </row>
    <row r="52" spans="2:33"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10341</v>
      </c>
      <c r="AC52" s="13">
        <v>0</v>
      </c>
      <c r="AD52" s="13">
        <v>0</v>
      </c>
      <c r="AE52" s="13">
        <v>9603</v>
      </c>
      <c r="AF52" s="13">
        <f t="shared" si="18"/>
        <v>19944</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5">
        <v>37</v>
      </c>
      <c r="C54" s="75"/>
      <c r="D54" s="75" t="s">
        <v>115</v>
      </c>
      <c r="E54" s="76">
        <f>E55</f>
        <v>0</v>
      </c>
      <c r="F54" s="76">
        <f t="shared" ref="F54:AF54" si="19">F55</f>
        <v>0</v>
      </c>
      <c r="G54" s="76">
        <f t="shared" si="19"/>
        <v>0</v>
      </c>
      <c r="H54" s="76">
        <f t="shared" si="19"/>
        <v>0</v>
      </c>
      <c r="I54" s="76">
        <f t="shared" si="19"/>
        <v>0</v>
      </c>
      <c r="J54" s="76">
        <f t="shared" si="19"/>
        <v>0</v>
      </c>
      <c r="K54" s="76">
        <f t="shared" si="19"/>
        <v>0</v>
      </c>
      <c r="L54" s="76">
        <f t="shared" si="19"/>
        <v>0</v>
      </c>
      <c r="M54" s="76">
        <f t="shared" si="19"/>
        <v>0</v>
      </c>
      <c r="N54" s="76">
        <f t="shared" si="19"/>
        <v>0</v>
      </c>
      <c r="O54" s="76">
        <f t="shared" si="19"/>
        <v>0</v>
      </c>
      <c r="P54" s="76">
        <f t="shared" si="19"/>
        <v>0</v>
      </c>
      <c r="Q54" s="76">
        <f t="shared" si="19"/>
        <v>0</v>
      </c>
      <c r="R54" s="76">
        <f t="shared" si="19"/>
        <v>0</v>
      </c>
      <c r="S54" s="76">
        <f t="shared" si="19"/>
        <v>0</v>
      </c>
      <c r="T54" s="76">
        <f t="shared" si="19"/>
        <v>0</v>
      </c>
      <c r="U54" s="76">
        <f t="shared" si="19"/>
        <v>0</v>
      </c>
      <c r="V54" s="76">
        <f t="shared" si="19"/>
        <v>0</v>
      </c>
      <c r="W54" s="76">
        <f t="shared" si="19"/>
        <v>0</v>
      </c>
      <c r="X54" s="76">
        <f t="shared" si="19"/>
        <v>0</v>
      </c>
      <c r="Y54" s="76">
        <f t="shared" si="19"/>
        <v>0</v>
      </c>
      <c r="Z54" s="76">
        <f t="shared" si="19"/>
        <v>0</v>
      </c>
      <c r="AA54" s="76">
        <f t="shared" si="19"/>
        <v>0</v>
      </c>
      <c r="AB54" s="76">
        <f t="shared" si="19"/>
        <v>0</v>
      </c>
      <c r="AC54" s="76">
        <f t="shared" si="19"/>
        <v>0</v>
      </c>
      <c r="AD54" s="76">
        <f t="shared" si="19"/>
        <v>0</v>
      </c>
      <c r="AE54" s="76">
        <f t="shared" si="19"/>
        <v>0</v>
      </c>
      <c r="AF54" s="76">
        <f t="shared" si="19"/>
        <v>0</v>
      </c>
      <c r="AG54" s="8">
        <v>51</v>
      </c>
    </row>
    <row r="55" spans="2:33"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5">
        <v>38</v>
      </c>
      <c r="C57" s="75"/>
      <c r="D57" s="75" t="s">
        <v>117</v>
      </c>
      <c r="E57" s="76">
        <f>E58+E59+E60+E61+E62+E63</f>
        <v>5.2</v>
      </c>
      <c r="F57" s="76">
        <f t="shared" ref="F57:AF57" si="20">F58+F59+F60+F61+F62+F63</f>
        <v>0</v>
      </c>
      <c r="G57" s="76">
        <f t="shared" si="20"/>
        <v>0</v>
      </c>
      <c r="H57" s="76">
        <f t="shared" si="20"/>
        <v>2500000</v>
      </c>
      <c r="I57" s="76">
        <f t="shared" si="20"/>
        <v>0</v>
      </c>
      <c r="J57" s="76">
        <f t="shared" si="20"/>
        <v>0</v>
      </c>
      <c r="K57" s="76">
        <f t="shared" si="20"/>
        <v>0</v>
      </c>
      <c r="L57" s="76">
        <f t="shared" si="20"/>
        <v>0</v>
      </c>
      <c r="M57" s="76">
        <f t="shared" si="20"/>
        <v>0</v>
      </c>
      <c r="N57" s="76">
        <f t="shared" si="20"/>
        <v>0</v>
      </c>
      <c r="O57" s="76">
        <f t="shared" si="20"/>
        <v>0</v>
      </c>
      <c r="P57" s="76">
        <f t="shared" si="20"/>
        <v>0</v>
      </c>
      <c r="Q57" s="76">
        <f t="shared" si="20"/>
        <v>0</v>
      </c>
      <c r="R57" s="76">
        <f t="shared" si="20"/>
        <v>0</v>
      </c>
      <c r="S57" s="76">
        <f t="shared" si="20"/>
        <v>0</v>
      </c>
      <c r="T57" s="76">
        <f t="shared" ref="T57" si="21">T58+T59+T60+T61+T62+T63</f>
        <v>0</v>
      </c>
      <c r="U57" s="76">
        <f t="shared" si="20"/>
        <v>0</v>
      </c>
      <c r="V57" s="76">
        <f t="shared" si="20"/>
        <v>0</v>
      </c>
      <c r="W57" s="76">
        <f t="shared" si="20"/>
        <v>0</v>
      </c>
      <c r="X57" s="76">
        <f t="shared" si="20"/>
        <v>0</v>
      </c>
      <c r="Y57" s="76">
        <f t="shared" si="20"/>
        <v>0</v>
      </c>
      <c r="Z57" s="76">
        <f t="shared" si="20"/>
        <v>0</v>
      </c>
      <c r="AA57" s="76">
        <f t="shared" si="20"/>
        <v>0</v>
      </c>
      <c r="AB57" s="76">
        <f t="shared" si="20"/>
        <v>0</v>
      </c>
      <c r="AC57" s="76">
        <f t="shared" si="20"/>
        <v>0</v>
      </c>
      <c r="AD57" s="76">
        <f t="shared" si="20"/>
        <v>0</v>
      </c>
      <c r="AE57" s="76">
        <f t="shared" si="20"/>
        <v>0</v>
      </c>
      <c r="AF57" s="76">
        <f t="shared" si="20"/>
        <v>2500005.2000000002</v>
      </c>
      <c r="AG57" s="8">
        <v>54</v>
      </c>
    </row>
    <row r="58" spans="2:33" x14ac:dyDescent="0.2">
      <c r="C58" s="8">
        <v>380</v>
      </c>
      <c r="D58" s="8" t="s">
        <v>118</v>
      </c>
      <c r="E58" s="13">
        <v>5.2</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f t="shared" ref="AF58:AF63" si="22">SUM(E58:AE58)</f>
        <v>5.2</v>
      </c>
      <c r="AG58" s="8">
        <v>55</v>
      </c>
    </row>
    <row r="59" spans="2:33"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f t="shared" si="22"/>
        <v>0</v>
      </c>
      <c r="AG59" s="8">
        <v>56</v>
      </c>
    </row>
    <row r="60" spans="2:33"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f t="shared" si="22"/>
        <v>0</v>
      </c>
      <c r="AG60" s="8">
        <v>57</v>
      </c>
    </row>
    <row r="61" spans="2:33"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f t="shared" si="22"/>
        <v>0</v>
      </c>
      <c r="AG61" s="8">
        <v>58</v>
      </c>
    </row>
    <row r="62" spans="2:33"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f t="shared" si="22"/>
        <v>0</v>
      </c>
      <c r="AG62" s="8">
        <v>59</v>
      </c>
    </row>
    <row r="63" spans="2:33" x14ac:dyDescent="0.2">
      <c r="C63" s="8">
        <v>389</v>
      </c>
      <c r="D63" s="8" t="s">
        <v>286</v>
      </c>
      <c r="E63" s="13">
        <v>0</v>
      </c>
      <c r="F63" s="13">
        <v>0</v>
      </c>
      <c r="G63" s="13">
        <v>0</v>
      </c>
      <c r="H63" s="13">
        <v>2500000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f t="shared" si="22"/>
        <v>2500000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5">
        <v>39</v>
      </c>
      <c r="C65" s="75"/>
      <c r="D65" s="75" t="s">
        <v>124</v>
      </c>
      <c r="E65" s="76">
        <f>E66+E67+E68+E69+E70+E71+E72+E73</f>
        <v>0</v>
      </c>
      <c r="F65" s="76">
        <f t="shared" ref="F65:AF65" si="23">F66+F67+F68+F69+F70+F71+F72+F73</f>
        <v>0</v>
      </c>
      <c r="G65" s="76">
        <f t="shared" si="23"/>
        <v>0</v>
      </c>
      <c r="H65" s="76">
        <f t="shared" si="23"/>
        <v>0</v>
      </c>
      <c r="I65" s="76">
        <f t="shared" si="23"/>
        <v>0</v>
      </c>
      <c r="J65" s="76">
        <f t="shared" si="23"/>
        <v>0</v>
      </c>
      <c r="K65" s="76">
        <f t="shared" si="23"/>
        <v>0</v>
      </c>
      <c r="L65" s="76">
        <f t="shared" si="23"/>
        <v>0</v>
      </c>
      <c r="M65" s="76">
        <f t="shared" si="23"/>
        <v>0</v>
      </c>
      <c r="N65" s="76">
        <f t="shared" si="23"/>
        <v>0</v>
      </c>
      <c r="O65" s="76">
        <f t="shared" si="23"/>
        <v>0</v>
      </c>
      <c r="P65" s="76">
        <f t="shared" si="23"/>
        <v>0</v>
      </c>
      <c r="Q65" s="76">
        <f t="shared" si="23"/>
        <v>0</v>
      </c>
      <c r="R65" s="76">
        <f t="shared" si="23"/>
        <v>0</v>
      </c>
      <c r="S65" s="76">
        <f t="shared" si="23"/>
        <v>0</v>
      </c>
      <c r="T65" s="76">
        <f t="shared" ref="T65" si="24">T66+T67+T68+T69+T70+T71+T72+T73</f>
        <v>16504.400000000001</v>
      </c>
      <c r="U65" s="76">
        <f t="shared" si="23"/>
        <v>350</v>
      </c>
      <c r="V65" s="76">
        <f t="shared" si="23"/>
        <v>183151.01</v>
      </c>
      <c r="W65" s="76">
        <f t="shared" si="23"/>
        <v>0</v>
      </c>
      <c r="X65" s="76">
        <f t="shared" si="23"/>
        <v>0</v>
      </c>
      <c r="Y65" s="76">
        <f t="shared" si="23"/>
        <v>243.6</v>
      </c>
      <c r="Z65" s="76">
        <f t="shared" si="23"/>
        <v>25053.9</v>
      </c>
      <c r="AA65" s="76">
        <f t="shared" si="23"/>
        <v>0</v>
      </c>
      <c r="AB65" s="76">
        <f t="shared" si="23"/>
        <v>0</v>
      </c>
      <c r="AC65" s="76">
        <f t="shared" si="23"/>
        <v>0</v>
      </c>
      <c r="AD65" s="76">
        <f t="shared" si="23"/>
        <v>0</v>
      </c>
      <c r="AE65" s="76">
        <f t="shared" si="23"/>
        <v>0</v>
      </c>
      <c r="AF65" s="76">
        <f t="shared" si="23"/>
        <v>225302.91</v>
      </c>
      <c r="AG65" s="8">
        <v>62</v>
      </c>
    </row>
    <row r="66" spans="1:33" x14ac:dyDescent="0.2">
      <c r="C66" s="8">
        <v>390</v>
      </c>
      <c r="D66" s="8" t="s">
        <v>125</v>
      </c>
      <c r="E66" s="13">
        <v>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f t="shared" ref="AF66:AF73" si="25">SUM(E66:AE66)</f>
        <v>0</v>
      </c>
      <c r="AG66" s="8">
        <v>63</v>
      </c>
    </row>
    <row r="67" spans="1:33" x14ac:dyDescent="0.2">
      <c r="C67" s="8">
        <v>391</v>
      </c>
      <c r="D67" s="8" t="s">
        <v>126</v>
      </c>
      <c r="E67" s="13">
        <v>0</v>
      </c>
      <c r="F67" s="13">
        <v>0</v>
      </c>
      <c r="G67" s="13">
        <v>0</v>
      </c>
      <c r="H67" s="13">
        <v>0</v>
      </c>
      <c r="I67" s="13">
        <v>0</v>
      </c>
      <c r="J67" s="13">
        <v>0</v>
      </c>
      <c r="K67" s="13">
        <v>0</v>
      </c>
      <c r="L67" s="13">
        <v>0</v>
      </c>
      <c r="M67" s="13">
        <v>0</v>
      </c>
      <c r="N67" s="13">
        <v>0</v>
      </c>
      <c r="O67" s="13">
        <v>0</v>
      </c>
      <c r="P67" s="13">
        <v>0</v>
      </c>
      <c r="Q67" s="13">
        <v>0</v>
      </c>
      <c r="R67" s="13">
        <v>0</v>
      </c>
      <c r="S67" s="13">
        <v>0</v>
      </c>
      <c r="T67" s="13">
        <v>0</v>
      </c>
      <c r="U67" s="13">
        <v>350</v>
      </c>
      <c r="V67" s="13">
        <v>0</v>
      </c>
      <c r="W67" s="13">
        <v>0</v>
      </c>
      <c r="X67" s="13">
        <v>0</v>
      </c>
      <c r="Y67" s="13">
        <v>243.6</v>
      </c>
      <c r="Z67" s="13">
        <v>0</v>
      </c>
      <c r="AA67" s="13">
        <v>0</v>
      </c>
      <c r="AB67" s="13">
        <v>0</v>
      </c>
      <c r="AC67" s="13">
        <v>0</v>
      </c>
      <c r="AD67" s="13">
        <v>0</v>
      </c>
      <c r="AE67" s="13">
        <v>0</v>
      </c>
      <c r="AF67" s="13">
        <f t="shared" si="25"/>
        <v>593.6</v>
      </c>
      <c r="AG67" s="8">
        <v>64</v>
      </c>
    </row>
    <row r="68" spans="1:33"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v>0</v>
      </c>
      <c r="S68" s="13">
        <v>0</v>
      </c>
      <c r="T68" s="13">
        <v>0</v>
      </c>
      <c r="U68" s="13">
        <v>0</v>
      </c>
      <c r="V68" s="13">
        <v>0</v>
      </c>
      <c r="W68" s="13">
        <v>0</v>
      </c>
      <c r="X68" s="13">
        <v>0</v>
      </c>
      <c r="Y68" s="13">
        <v>0</v>
      </c>
      <c r="Z68" s="13">
        <v>0</v>
      </c>
      <c r="AA68" s="13">
        <v>0</v>
      </c>
      <c r="AB68" s="13">
        <v>0</v>
      </c>
      <c r="AC68" s="13">
        <v>0</v>
      </c>
      <c r="AD68" s="13">
        <v>0</v>
      </c>
      <c r="AE68" s="13">
        <v>0</v>
      </c>
      <c r="AF68" s="13">
        <f t="shared" si="25"/>
        <v>0</v>
      </c>
      <c r="AG68" s="8">
        <v>65</v>
      </c>
    </row>
    <row r="69" spans="1:33" x14ac:dyDescent="0.2">
      <c r="C69" s="8">
        <v>393</v>
      </c>
      <c r="D69" s="8" t="s">
        <v>128</v>
      </c>
      <c r="E69" s="13">
        <v>0</v>
      </c>
      <c r="F69" s="13">
        <v>0</v>
      </c>
      <c r="G69" s="13">
        <v>0</v>
      </c>
      <c r="H69" s="13">
        <v>0</v>
      </c>
      <c r="I69" s="13">
        <v>0</v>
      </c>
      <c r="J69" s="13">
        <v>0</v>
      </c>
      <c r="K69" s="13">
        <v>0</v>
      </c>
      <c r="L69" s="13">
        <v>0</v>
      </c>
      <c r="M69" s="13">
        <v>0</v>
      </c>
      <c r="N69" s="13">
        <v>0</v>
      </c>
      <c r="O69" s="13">
        <v>0</v>
      </c>
      <c r="P69" s="13">
        <v>0</v>
      </c>
      <c r="Q69" s="13">
        <v>0</v>
      </c>
      <c r="R69" s="13">
        <v>0</v>
      </c>
      <c r="S69" s="13">
        <v>0</v>
      </c>
      <c r="T69" s="13">
        <v>0</v>
      </c>
      <c r="U69" s="13">
        <v>0</v>
      </c>
      <c r="V69" s="13">
        <v>0</v>
      </c>
      <c r="W69" s="13">
        <v>0</v>
      </c>
      <c r="X69" s="13">
        <v>0</v>
      </c>
      <c r="Y69" s="13">
        <v>0</v>
      </c>
      <c r="Z69" s="13">
        <v>0</v>
      </c>
      <c r="AA69" s="13">
        <v>0</v>
      </c>
      <c r="AB69" s="13">
        <v>0</v>
      </c>
      <c r="AC69" s="13">
        <v>0</v>
      </c>
      <c r="AD69" s="13">
        <v>0</v>
      </c>
      <c r="AE69" s="13">
        <v>0</v>
      </c>
      <c r="AF69" s="13">
        <f t="shared" si="25"/>
        <v>0</v>
      </c>
      <c r="AG69" s="8">
        <v>66</v>
      </c>
    </row>
    <row r="70" spans="1:33"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v>0</v>
      </c>
      <c r="S70" s="13">
        <v>0</v>
      </c>
      <c r="T70" s="13">
        <v>16504.400000000001</v>
      </c>
      <c r="U70" s="13">
        <v>0</v>
      </c>
      <c r="V70" s="13">
        <v>0</v>
      </c>
      <c r="W70" s="13">
        <v>0</v>
      </c>
      <c r="X70" s="13">
        <v>0</v>
      </c>
      <c r="Y70" s="13">
        <v>0</v>
      </c>
      <c r="Z70" s="13">
        <v>25053.9</v>
      </c>
      <c r="AA70" s="13">
        <v>0</v>
      </c>
      <c r="AB70" s="13">
        <v>0</v>
      </c>
      <c r="AC70" s="13">
        <v>0</v>
      </c>
      <c r="AD70" s="13">
        <v>0</v>
      </c>
      <c r="AE70" s="13">
        <v>0</v>
      </c>
      <c r="AF70" s="13">
        <f t="shared" si="25"/>
        <v>41558.300000000003</v>
      </c>
      <c r="AG70" s="8">
        <v>67</v>
      </c>
    </row>
    <row r="71" spans="1:33"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f t="shared" si="25"/>
        <v>0</v>
      </c>
      <c r="AG71" s="8">
        <v>68</v>
      </c>
    </row>
    <row r="72" spans="1:33"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v>0</v>
      </c>
      <c r="S72" s="13">
        <v>0</v>
      </c>
      <c r="T72" s="13">
        <v>0</v>
      </c>
      <c r="U72" s="13">
        <v>0</v>
      </c>
      <c r="V72" s="13">
        <v>183151.01</v>
      </c>
      <c r="W72" s="13">
        <v>0</v>
      </c>
      <c r="X72" s="13">
        <v>0</v>
      </c>
      <c r="Y72" s="13">
        <v>0</v>
      </c>
      <c r="Z72" s="13">
        <v>0</v>
      </c>
      <c r="AA72" s="13">
        <v>0</v>
      </c>
      <c r="AB72" s="13">
        <v>0</v>
      </c>
      <c r="AC72" s="13">
        <v>0</v>
      </c>
      <c r="AD72" s="13">
        <v>0</v>
      </c>
      <c r="AE72" s="13">
        <v>0</v>
      </c>
      <c r="AF72" s="13">
        <f t="shared" si="25"/>
        <v>183151.01</v>
      </c>
      <c r="AG72" s="8">
        <v>69</v>
      </c>
    </row>
    <row r="73" spans="1:33"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v>0</v>
      </c>
      <c r="S73" s="13">
        <v>0</v>
      </c>
      <c r="T73" s="13">
        <v>0</v>
      </c>
      <c r="U73" s="13">
        <v>0</v>
      </c>
      <c r="V73" s="13">
        <v>0</v>
      </c>
      <c r="W73" s="13">
        <v>0</v>
      </c>
      <c r="X73" s="13">
        <v>0</v>
      </c>
      <c r="Y73" s="13">
        <v>0</v>
      </c>
      <c r="Z73" s="13">
        <v>0</v>
      </c>
      <c r="AA73" s="13">
        <v>0</v>
      </c>
      <c r="AB73" s="13">
        <v>0</v>
      </c>
      <c r="AC73" s="13">
        <v>0</v>
      </c>
      <c r="AD73" s="13">
        <v>0</v>
      </c>
      <c r="AE73" s="13">
        <v>0</v>
      </c>
      <c r="AF73" s="13">
        <f t="shared" si="25"/>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133</v>
      </c>
      <c r="E76" s="15">
        <f>E77+E83+E89+E100+E106+E118+E122+E129+E132+E141</f>
        <v>780318.27</v>
      </c>
      <c r="F76" s="15">
        <f t="shared" ref="F76:AF76" si="26">F77+F83+F89+F100+F106+F118+F122+F129+F132+F141</f>
        <v>7753564.5700000003</v>
      </c>
      <c r="G76" s="15">
        <f t="shared" si="26"/>
        <v>56668.119999999995</v>
      </c>
      <c r="H76" s="15">
        <f t="shared" si="26"/>
        <v>9056740.1400000006</v>
      </c>
      <c r="I76" s="15">
        <f t="shared" si="26"/>
        <v>173196.15</v>
      </c>
      <c r="J76" s="15">
        <f t="shared" si="26"/>
        <v>1092947.1400000001</v>
      </c>
      <c r="K76" s="15">
        <f t="shared" si="26"/>
        <v>2424968.62</v>
      </c>
      <c r="L76" s="15">
        <f t="shared" si="26"/>
        <v>638008.79</v>
      </c>
      <c r="M76" s="15">
        <f t="shared" si="26"/>
        <v>328232.47000000003</v>
      </c>
      <c r="N76" s="15">
        <f t="shared" si="26"/>
        <v>295716.56</v>
      </c>
      <c r="O76" s="15">
        <f t="shared" si="26"/>
        <v>5561943.5900000008</v>
      </c>
      <c r="P76" s="15">
        <f t="shared" si="26"/>
        <v>32240</v>
      </c>
      <c r="Q76" s="15">
        <f t="shared" si="26"/>
        <v>7715.36</v>
      </c>
      <c r="R76" s="15">
        <f t="shared" si="26"/>
        <v>48233</v>
      </c>
      <c r="S76" s="15">
        <f t="shared" si="26"/>
        <v>1953.95</v>
      </c>
      <c r="T76" s="15">
        <f t="shared" ref="T76" si="27">T77+T83+T89+T100+T106+T118+T122+T129+T132+T141</f>
        <v>669806.35</v>
      </c>
      <c r="U76" s="15">
        <f t="shared" si="26"/>
        <v>211503.76</v>
      </c>
      <c r="V76" s="15">
        <f t="shared" si="26"/>
        <v>690812.23</v>
      </c>
      <c r="W76" s="15">
        <f t="shared" si="26"/>
        <v>48088.800000000003</v>
      </c>
      <c r="X76" s="15">
        <f t="shared" si="26"/>
        <v>848979.25000000012</v>
      </c>
      <c r="Y76" s="15">
        <f t="shared" si="26"/>
        <v>6075416.3699999992</v>
      </c>
      <c r="Z76" s="15">
        <f t="shared" si="26"/>
        <v>401056.78</v>
      </c>
      <c r="AA76" s="15">
        <f t="shared" si="26"/>
        <v>2115222.5299999998</v>
      </c>
      <c r="AB76" s="15">
        <f t="shared" si="26"/>
        <v>190642.4</v>
      </c>
      <c r="AC76" s="15">
        <f t="shared" si="26"/>
        <v>175848.63</v>
      </c>
      <c r="AD76" s="15">
        <f t="shared" si="26"/>
        <v>3342227.81</v>
      </c>
      <c r="AE76" s="15">
        <f t="shared" si="26"/>
        <v>224826.72999999998</v>
      </c>
      <c r="AF76" s="15">
        <f t="shared" si="26"/>
        <v>43246878.370000005</v>
      </c>
      <c r="AG76" s="8">
        <v>73</v>
      </c>
    </row>
    <row r="77" spans="1:33" ht="15" x14ac:dyDescent="0.25">
      <c r="A77" s="7"/>
      <c r="B77" s="77">
        <v>40</v>
      </c>
      <c r="C77" s="77"/>
      <c r="D77" s="77" t="s">
        <v>76</v>
      </c>
      <c r="E77" s="78">
        <f>E78+E79+E80+E81</f>
        <v>0</v>
      </c>
      <c r="F77" s="78">
        <f t="shared" ref="F77:AF77" si="28">F78+F79+F80+F81</f>
        <v>0</v>
      </c>
      <c r="G77" s="78">
        <f t="shared" si="28"/>
        <v>0</v>
      </c>
      <c r="H77" s="78">
        <f t="shared" si="28"/>
        <v>0</v>
      </c>
      <c r="I77" s="78">
        <f t="shared" si="28"/>
        <v>0</v>
      </c>
      <c r="J77" s="78">
        <f t="shared" si="28"/>
        <v>0</v>
      </c>
      <c r="K77" s="78">
        <f t="shared" si="28"/>
        <v>0</v>
      </c>
      <c r="L77" s="78">
        <f t="shared" si="28"/>
        <v>0</v>
      </c>
      <c r="M77" s="78">
        <f t="shared" si="28"/>
        <v>0</v>
      </c>
      <c r="N77" s="78">
        <f t="shared" si="28"/>
        <v>0</v>
      </c>
      <c r="O77" s="78">
        <f t="shared" si="28"/>
        <v>0</v>
      </c>
      <c r="P77" s="78">
        <f t="shared" si="28"/>
        <v>0</v>
      </c>
      <c r="Q77" s="78">
        <f t="shared" si="28"/>
        <v>0</v>
      </c>
      <c r="R77" s="78">
        <f t="shared" si="28"/>
        <v>0</v>
      </c>
      <c r="S77" s="78">
        <f t="shared" si="28"/>
        <v>0</v>
      </c>
      <c r="T77" s="78">
        <f t="shared" ref="T77" si="29">T78+T79+T80+T81</f>
        <v>0</v>
      </c>
      <c r="U77" s="78">
        <f t="shared" si="28"/>
        <v>0</v>
      </c>
      <c r="V77" s="78">
        <f t="shared" si="28"/>
        <v>0</v>
      </c>
      <c r="W77" s="78">
        <f t="shared" si="28"/>
        <v>0</v>
      </c>
      <c r="X77" s="78">
        <f t="shared" si="28"/>
        <v>0</v>
      </c>
      <c r="Y77" s="78">
        <f t="shared" si="28"/>
        <v>0</v>
      </c>
      <c r="Z77" s="78">
        <f t="shared" si="28"/>
        <v>0</v>
      </c>
      <c r="AA77" s="78">
        <f t="shared" si="28"/>
        <v>0</v>
      </c>
      <c r="AB77" s="78">
        <f t="shared" si="28"/>
        <v>0</v>
      </c>
      <c r="AC77" s="78">
        <f t="shared" si="28"/>
        <v>0</v>
      </c>
      <c r="AD77" s="78">
        <f t="shared" si="28"/>
        <v>0</v>
      </c>
      <c r="AE77" s="78">
        <f t="shared" si="28"/>
        <v>0</v>
      </c>
      <c r="AF77" s="78">
        <f t="shared" si="28"/>
        <v>0</v>
      </c>
      <c r="AG77" s="8">
        <v>74</v>
      </c>
    </row>
    <row r="78" spans="1:33"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136</v>
      </c>
      <c r="E80" s="13">
        <v>0</v>
      </c>
      <c r="F80" s="13">
        <v>0</v>
      </c>
      <c r="G80" s="13">
        <v>0</v>
      </c>
      <c r="H80" s="13">
        <v>0</v>
      </c>
      <c r="I80" s="13">
        <v>0</v>
      </c>
      <c r="J80" s="13">
        <v>0</v>
      </c>
      <c r="K80" s="13">
        <v>0</v>
      </c>
      <c r="L80" s="13">
        <v>0</v>
      </c>
      <c r="M80" s="13">
        <v>0</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77">
        <v>41</v>
      </c>
      <c r="C83" s="77"/>
      <c r="D83" s="77" t="s">
        <v>138</v>
      </c>
      <c r="E83" s="78">
        <f>E84+E85+E86+E87</f>
        <v>0</v>
      </c>
      <c r="F83" s="78">
        <f t="shared" ref="F83:AF83" si="30">F84+F85+F86+F87</f>
        <v>0</v>
      </c>
      <c r="G83" s="78">
        <f t="shared" si="30"/>
        <v>0</v>
      </c>
      <c r="H83" s="78">
        <f t="shared" si="30"/>
        <v>0</v>
      </c>
      <c r="I83" s="78">
        <f t="shared" si="30"/>
        <v>0</v>
      </c>
      <c r="J83" s="78">
        <f t="shared" si="30"/>
        <v>0</v>
      </c>
      <c r="K83" s="78">
        <f t="shared" si="30"/>
        <v>0</v>
      </c>
      <c r="L83" s="78">
        <f t="shared" si="30"/>
        <v>0</v>
      </c>
      <c r="M83" s="78">
        <f t="shared" si="30"/>
        <v>0</v>
      </c>
      <c r="N83" s="78">
        <f t="shared" si="30"/>
        <v>0</v>
      </c>
      <c r="O83" s="78">
        <f t="shared" si="30"/>
        <v>0</v>
      </c>
      <c r="P83" s="78">
        <f t="shared" si="30"/>
        <v>0</v>
      </c>
      <c r="Q83" s="78">
        <f t="shared" si="30"/>
        <v>0</v>
      </c>
      <c r="R83" s="78">
        <f t="shared" si="30"/>
        <v>0</v>
      </c>
      <c r="S83" s="78">
        <f t="shared" si="30"/>
        <v>0</v>
      </c>
      <c r="T83" s="78">
        <f t="shared" ref="T83" si="31">T84+T85+T86+T87</f>
        <v>0</v>
      </c>
      <c r="U83" s="78">
        <f t="shared" si="30"/>
        <v>0</v>
      </c>
      <c r="V83" s="78">
        <f t="shared" si="30"/>
        <v>0</v>
      </c>
      <c r="W83" s="78">
        <f t="shared" si="30"/>
        <v>0</v>
      </c>
      <c r="X83" s="78">
        <f t="shared" si="30"/>
        <v>0</v>
      </c>
      <c r="Y83" s="78">
        <f t="shared" si="30"/>
        <v>0</v>
      </c>
      <c r="Z83" s="78">
        <f t="shared" si="30"/>
        <v>0</v>
      </c>
      <c r="AA83" s="78">
        <f t="shared" si="30"/>
        <v>0</v>
      </c>
      <c r="AB83" s="78">
        <f t="shared" si="30"/>
        <v>0</v>
      </c>
      <c r="AC83" s="78">
        <f t="shared" si="30"/>
        <v>0</v>
      </c>
      <c r="AD83" s="78">
        <f t="shared" si="30"/>
        <v>0</v>
      </c>
      <c r="AE83" s="78">
        <f t="shared" si="30"/>
        <v>0</v>
      </c>
      <c r="AF83" s="78">
        <f t="shared" si="30"/>
        <v>0</v>
      </c>
      <c r="AG83" s="8">
        <v>80</v>
      </c>
    </row>
    <row r="84" spans="2:33"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141</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77">
        <v>42</v>
      </c>
      <c r="C89" s="77"/>
      <c r="D89" s="77" t="s">
        <v>143</v>
      </c>
      <c r="E89" s="78">
        <f>E90+E91+E92+E93+E94+E95+E96+E97+E98</f>
        <v>57246.16</v>
      </c>
      <c r="F89" s="78">
        <f t="shared" ref="F89:AF89" si="32">F90+F91+F92+F93+F94+F95+F96+F97+F98</f>
        <v>299839.34999999998</v>
      </c>
      <c r="G89" s="78">
        <f t="shared" si="32"/>
        <v>17110</v>
      </c>
      <c r="H89" s="78">
        <f t="shared" si="32"/>
        <v>8730977.2700000014</v>
      </c>
      <c r="I89" s="78">
        <f t="shared" si="32"/>
        <v>0</v>
      </c>
      <c r="J89" s="78">
        <f t="shared" si="32"/>
        <v>35424.400000000001</v>
      </c>
      <c r="K89" s="78">
        <f t="shared" si="32"/>
        <v>80767.100000000006</v>
      </c>
      <c r="L89" s="78">
        <f t="shared" si="32"/>
        <v>636444.73</v>
      </c>
      <c r="M89" s="78">
        <f t="shared" si="32"/>
        <v>64036.83</v>
      </c>
      <c r="N89" s="78">
        <f t="shared" si="32"/>
        <v>0</v>
      </c>
      <c r="O89" s="78">
        <f t="shared" si="32"/>
        <v>2544794.5</v>
      </c>
      <c r="P89" s="78">
        <f t="shared" si="32"/>
        <v>11350</v>
      </c>
      <c r="Q89" s="78">
        <f t="shared" si="32"/>
        <v>350</v>
      </c>
      <c r="R89" s="78">
        <f t="shared" si="32"/>
        <v>28433</v>
      </c>
      <c r="S89" s="78">
        <f t="shared" si="32"/>
        <v>450</v>
      </c>
      <c r="T89" s="78">
        <f t="shared" ref="T89" si="33">T90+T91+T92+T93+T94+T95+T96+T97+T98</f>
        <v>567099.75</v>
      </c>
      <c r="U89" s="78">
        <f t="shared" si="32"/>
        <v>23847.95</v>
      </c>
      <c r="V89" s="78">
        <f t="shared" si="32"/>
        <v>3195.65</v>
      </c>
      <c r="W89" s="78">
        <f t="shared" si="32"/>
        <v>0</v>
      </c>
      <c r="X89" s="78">
        <f t="shared" si="32"/>
        <v>844247.08000000007</v>
      </c>
      <c r="Y89" s="78">
        <f t="shared" si="32"/>
        <v>2271597.0499999998</v>
      </c>
      <c r="Z89" s="78">
        <f t="shared" si="32"/>
        <v>374816.45</v>
      </c>
      <c r="AA89" s="78">
        <f t="shared" si="32"/>
        <v>178959.02</v>
      </c>
      <c r="AB89" s="78">
        <f t="shared" si="32"/>
        <v>0</v>
      </c>
      <c r="AC89" s="78">
        <f t="shared" si="32"/>
        <v>270</v>
      </c>
      <c r="AD89" s="78">
        <f t="shared" si="32"/>
        <v>447804.93</v>
      </c>
      <c r="AE89" s="78">
        <f t="shared" si="32"/>
        <v>-389.15</v>
      </c>
      <c r="AF89" s="78">
        <f t="shared" si="32"/>
        <v>17218672.07</v>
      </c>
      <c r="AG89" s="8">
        <v>86</v>
      </c>
    </row>
    <row r="90" spans="2:33"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f t="shared" ref="AF90:AF98" si="34">SUM(E90:AE90)</f>
        <v>0</v>
      </c>
      <c r="AG90" s="8">
        <v>87</v>
      </c>
    </row>
    <row r="91" spans="2:33" x14ac:dyDescent="0.2">
      <c r="C91" s="8">
        <v>421</v>
      </c>
      <c r="D91" s="8" t="s">
        <v>145</v>
      </c>
      <c r="E91" s="13">
        <v>0</v>
      </c>
      <c r="F91" s="13">
        <v>0</v>
      </c>
      <c r="G91" s="13">
        <v>0</v>
      </c>
      <c r="H91" s="13">
        <v>110</v>
      </c>
      <c r="I91" s="13">
        <v>0</v>
      </c>
      <c r="J91" s="13">
        <v>0</v>
      </c>
      <c r="K91" s="13">
        <v>0</v>
      </c>
      <c r="L91" s="13">
        <v>3844.6</v>
      </c>
      <c r="M91" s="13">
        <v>0</v>
      </c>
      <c r="N91" s="13">
        <v>0</v>
      </c>
      <c r="O91" s="13">
        <v>0</v>
      </c>
      <c r="P91" s="13">
        <v>0</v>
      </c>
      <c r="Q91" s="13">
        <v>0</v>
      </c>
      <c r="R91" s="13">
        <v>0</v>
      </c>
      <c r="S91" s="13">
        <v>0</v>
      </c>
      <c r="T91" s="13">
        <v>0</v>
      </c>
      <c r="U91" s="13">
        <v>0</v>
      </c>
      <c r="V91" s="13">
        <v>0</v>
      </c>
      <c r="W91" s="13">
        <v>0</v>
      </c>
      <c r="X91" s="13">
        <v>0</v>
      </c>
      <c r="Y91" s="13">
        <v>0</v>
      </c>
      <c r="Z91" s="13">
        <v>6011.2</v>
      </c>
      <c r="AA91" s="13">
        <v>4800</v>
      </c>
      <c r="AB91" s="13">
        <v>0</v>
      </c>
      <c r="AC91" s="13">
        <v>0</v>
      </c>
      <c r="AD91" s="13">
        <v>0</v>
      </c>
      <c r="AE91" s="13">
        <v>0</v>
      </c>
      <c r="AF91" s="13">
        <f t="shared" si="34"/>
        <v>14765.8</v>
      </c>
      <c r="AG91" s="8">
        <v>88</v>
      </c>
    </row>
    <row r="92" spans="2:33"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f t="shared" si="34"/>
        <v>0</v>
      </c>
      <c r="AG92" s="8">
        <v>89</v>
      </c>
    </row>
    <row r="93" spans="2:33"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f t="shared" si="34"/>
        <v>0</v>
      </c>
      <c r="AG93" s="8">
        <v>90</v>
      </c>
    </row>
    <row r="94" spans="2:33" x14ac:dyDescent="0.2">
      <c r="C94" s="8">
        <v>424</v>
      </c>
      <c r="D94" s="8" t="s">
        <v>148</v>
      </c>
      <c r="E94" s="13">
        <v>0</v>
      </c>
      <c r="F94" s="13">
        <v>100059.7</v>
      </c>
      <c r="G94" s="13">
        <v>17110</v>
      </c>
      <c r="H94" s="13">
        <v>8719469.5500000007</v>
      </c>
      <c r="I94" s="13">
        <v>0</v>
      </c>
      <c r="J94" s="13">
        <v>0</v>
      </c>
      <c r="K94" s="13">
        <v>64823</v>
      </c>
      <c r="L94" s="13">
        <v>627497.48</v>
      </c>
      <c r="M94" s="13">
        <v>0</v>
      </c>
      <c r="N94" s="13">
        <v>0</v>
      </c>
      <c r="O94" s="13">
        <v>2544794.5</v>
      </c>
      <c r="P94" s="13">
        <v>11350</v>
      </c>
      <c r="Q94" s="13">
        <v>350</v>
      </c>
      <c r="R94" s="13">
        <v>28433</v>
      </c>
      <c r="S94" s="13">
        <v>450</v>
      </c>
      <c r="T94" s="13">
        <v>38174.65</v>
      </c>
      <c r="U94" s="13">
        <v>0</v>
      </c>
      <c r="V94" s="13">
        <v>0</v>
      </c>
      <c r="W94" s="13">
        <v>0</v>
      </c>
      <c r="X94" s="13">
        <v>811825.93</v>
      </c>
      <c r="Y94" s="13">
        <v>1067554.95</v>
      </c>
      <c r="Z94" s="13">
        <v>361972.75</v>
      </c>
      <c r="AA94" s="13">
        <v>4996.87</v>
      </c>
      <c r="AB94" s="13">
        <v>0</v>
      </c>
      <c r="AC94" s="13">
        <v>0</v>
      </c>
      <c r="AD94" s="13">
        <v>273908.82</v>
      </c>
      <c r="AE94" s="13">
        <v>-389.15</v>
      </c>
      <c r="AF94" s="13">
        <f t="shared" si="34"/>
        <v>14672382.049999999</v>
      </c>
      <c r="AG94" s="8">
        <v>91</v>
      </c>
    </row>
    <row r="95" spans="2:33" x14ac:dyDescent="0.2">
      <c r="C95" s="8">
        <v>425</v>
      </c>
      <c r="D95" s="8" t="s">
        <v>149</v>
      </c>
      <c r="E95" s="13">
        <v>0</v>
      </c>
      <c r="F95" s="13">
        <v>163107.65</v>
      </c>
      <c r="G95" s="13">
        <v>0</v>
      </c>
      <c r="H95" s="13">
        <v>0</v>
      </c>
      <c r="I95" s="13">
        <v>0</v>
      </c>
      <c r="J95" s="13">
        <v>0</v>
      </c>
      <c r="K95" s="13">
        <v>0</v>
      </c>
      <c r="L95" s="13">
        <v>0</v>
      </c>
      <c r="M95" s="13">
        <v>0</v>
      </c>
      <c r="N95" s="13">
        <v>0</v>
      </c>
      <c r="O95" s="13">
        <v>0</v>
      </c>
      <c r="P95" s="13">
        <v>0</v>
      </c>
      <c r="Q95" s="13">
        <v>0</v>
      </c>
      <c r="R95" s="13">
        <v>0</v>
      </c>
      <c r="S95" s="13">
        <v>0</v>
      </c>
      <c r="T95" s="13">
        <v>528925.1</v>
      </c>
      <c r="U95" s="13">
        <v>23847.95</v>
      </c>
      <c r="V95" s="13">
        <v>3195.65</v>
      </c>
      <c r="W95" s="13">
        <v>0</v>
      </c>
      <c r="X95" s="13">
        <v>32421.15</v>
      </c>
      <c r="Y95" s="13">
        <v>1184601.6499999999</v>
      </c>
      <c r="Z95" s="13">
        <v>6832.5</v>
      </c>
      <c r="AA95" s="13">
        <v>22756.35</v>
      </c>
      <c r="AB95" s="13">
        <v>0</v>
      </c>
      <c r="AC95" s="13">
        <v>0</v>
      </c>
      <c r="AD95" s="13">
        <v>0</v>
      </c>
      <c r="AE95" s="13">
        <v>0</v>
      </c>
      <c r="AF95" s="13">
        <f t="shared" si="34"/>
        <v>1965688</v>
      </c>
      <c r="AG95" s="8">
        <v>92</v>
      </c>
    </row>
    <row r="96" spans="2:33" x14ac:dyDescent="0.2">
      <c r="C96" s="8">
        <v>426</v>
      </c>
      <c r="D96" s="8" t="s">
        <v>150</v>
      </c>
      <c r="E96" s="13">
        <v>56546.16</v>
      </c>
      <c r="F96" s="13">
        <v>17000</v>
      </c>
      <c r="G96" s="13">
        <v>0</v>
      </c>
      <c r="H96" s="13">
        <v>11397.72</v>
      </c>
      <c r="I96" s="13">
        <v>0</v>
      </c>
      <c r="J96" s="13">
        <v>35214.400000000001</v>
      </c>
      <c r="K96" s="13">
        <v>15944.1</v>
      </c>
      <c r="L96" s="13">
        <v>5102.6499999999996</v>
      </c>
      <c r="M96" s="13">
        <v>64036.83</v>
      </c>
      <c r="N96" s="13">
        <v>0</v>
      </c>
      <c r="O96" s="13">
        <v>0</v>
      </c>
      <c r="P96" s="13">
        <v>0</v>
      </c>
      <c r="Q96" s="13">
        <v>0</v>
      </c>
      <c r="R96" s="13">
        <v>0</v>
      </c>
      <c r="S96" s="13">
        <v>0</v>
      </c>
      <c r="T96" s="13">
        <v>0</v>
      </c>
      <c r="U96" s="13">
        <v>0</v>
      </c>
      <c r="V96" s="13">
        <v>0</v>
      </c>
      <c r="W96" s="13">
        <v>0</v>
      </c>
      <c r="X96" s="13">
        <v>0</v>
      </c>
      <c r="Y96" s="13">
        <v>19440.45</v>
      </c>
      <c r="Z96" s="13">
        <v>0</v>
      </c>
      <c r="AA96" s="13">
        <v>146405.79999999999</v>
      </c>
      <c r="AB96" s="13">
        <v>0</v>
      </c>
      <c r="AC96" s="13">
        <v>270</v>
      </c>
      <c r="AD96" s="13">
        <v>173896.11</v>
      </c>
      <c r="AE96" s="13">
        <v>0</v>
      </c>
      <c r="AF96" s="13">
        <f t="shared" si="34"/>
        <v>545254.22</v>
      </c>
      <c r="AG96" s="8">
        <v>93</v>
      </c>
    </row>
    <row r="97" spans="2:33" x14ac:dyDescent="0.2">
      <c r="C97" s="8">
        <v>427</v>
      </c>
      <c r="D97" s="8" t="s">
        <v>151</v>
      </c>
      <c r="E97" s="13">
        <v>700</v>
      </c>
      <c r="F97" s="13">
        <v>0</v>
      </c>
      <c r="G97" s="13">
        <v>0</v>
      </c>
      <c r="H97" s="13">
        <v>0</v>
      </c>
      <c r="I97" s="13">
        <v>0</v>
      </c>
      <c r="J97" s="13">
        <v>210</v>
      </c>
      <c r="K97" s="13">
        <v>0</v>
      </c>
      <c r="L97" s="13">
        <v>0</v>
      </c>
      <c r="M97" s="13">
        <v>0</v>
      </c>
      <c r="N97" s="13">
        <v>0</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f t="shared" si="34"/>
        <v>910</v>
      </c>
      <c r="AG97" s="8">
        <v>94</v>
      </c>
    </row>
    <row r="98" spans="2:33" x14ac:dyDescent="0.2">
      <c r="C98" s="8">
        <v>429</v>
      </c>
      <c r="D98" s="8" t="s">
        <v>152</v>
      </c>
      <c r="E98" s="13">
        <v>0</v>
      </c>
      <c r="F98" s="13">
        <v>19672</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f t="shared" si="34"/>
        <v>19672</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77">
        <v>43</v>
      </c>
      <c r="C100" s="77"/>
      <c r="D100" s="77" t="s">
        <v>153</v>
      </c>
      <c r="E100" s="78">
        <f>E101+E102+E103+E104</f>
        <v>0</v>
      </c>
      <c r="F100" s="78">
        <f t="shared" ref="F100:AF100" si="35">F101+F102+F103+F104</f>
        <v>0</v>
      </c>
      <c r="G100" s="78">
        <f t="shared" si="35"/>
        <v>0</v>
      </c>
      <c r="H100" s="78">
        <f t="shared" si="35"/>
        <v>0</v>
      </c>
      <c r="I100" s="78">
        <f t="shared" si="35"/>
        <v>0</v>
      </c>
      <c r="J100" s="78">
        <f t="shared" si="35"/>
        <v>0</v>
      </c>
      <c r="K100" s="78">
        <f t="shared" si="35"/>
        <v>0</v>
      </c>
      <c r="L100" s="78">
        <f t="shared" si="35"/>
        <v>0</v>
      </c>
      <c r="M100" s="78">
        <f t="shared" si="35"/>
        <v>0</v>
      </c>
      <c r="N100" s="78">
        <f t="shared" si="35"/>
        <v>0</v>
      </c>
      <c r="O100" s="78">
        <f t="shared" si="35"/>
        <v>0</v>
      </c>
      <c r="P100" s="78">
        <f t="shared" si="35"/>
        <v>0</v>
      </c>
      <c r="Q100" s="78">
        <f t="shared" si="35"/>
        <v>0</v>
      </c>
      <c r="R100" s="78">
        <f t="shared" si="35"/>
        <v>0</v>
      </c>
      <c r="S100" s="78">
        <f t="shared" si="35"/>
        <v>0</v>
      </c>
      <c r="T100" s="78">
        <f t="shared" ref="T100" si="36">T101+T102+T103+T104</f>
        <v>20866</v>
      </c>
      <c r="U100" s="78">
        <f t="shared" si="35"/>
        <v>352.44</v>
      </c>
      <c r="V100" s="78">
        <f t="shared" si="35"/>
        <v>0</v>
      </c>
      <c r="W100" s="78">
        <f t="shared" si="35"/>
        <v>0</v>
      </c>
      <c r="X100" s="78">
        <f t="shared" si="35"/>
        <v>0</v>
      </c>
      <c r="Y100" s="78">
        <f t="shared" si="35"/>
        <v>50196.42</v>
      </c>
      <c r="Z100" s="78">
        <f t="shared" si="35"/>
        <v>19.5</v>
      </c>
      <c r="AA100" s="78">
        <f t="shared" si="35"/>
        <v>98540.15</v>
      </c>
      <c r="AB100" s="78">
        <f t="shared" si="35"/>
        <v>0</v>
      </c>
      <c r="AC100" s="78">
        <f t="shared" si="35"/>
        <v>0</v>
      </c>
      <c r="AD100" s="78">
        <f t="shared" si="35"/>
        <v>0</v>
      </c>
      <c r="AE100" s="78">
        <f t="shared" si="35"/>
        <v>0</v>
      </c>
      <c r="AF100" s="78">
        <f t="shared" si="35"/>
        <v>169974.51</v>
      </c>
      <c r="AG100" s="8">
        <v>97</v>
      </c>
    </row>
    <row r="101" spans="2:33"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352.44</v>
      </c>
      <c r="V101" s="13">
        <v>0</v>
      </c>
      <c r="W101" s="13">
        <v>0</v>
      </c>
      <c r="X101" s="13">
        <v>0</v>
      </c>
      <c r="Y101" s="13">
        <v>0</v>
      </c>
      <c r="Z101" s="13">
        <v>0</v>
      </c>
      <c r="AA101" s="13">
        <v>9550.15</v>
      </c>
      <c r="AB101" s="13">
        <v>0</v>
      </c>
      <c r="AC101" s="13">
        <v>0</v>
      </c>
      <c r="AD101" s="13">
        <v>0</v>
      </c>
      <c r="AE101" s="13">
        <v>0</v>
      </c>
      <c r="AF101" s="13">
        <f>SUM(E101:AE101)</f>
        <v>9902.59</v>
      </c>
      <c r="AG101" s="8">
        <v>98</v>
      </c>
    </row>
    <row r="102" spans="2:33"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v>0</v>
      </c>
      <c r="S102" s="13">
        <v>0</v>
      </c>
      <c r="T102" s="13">
        <v>20866</v>
      </c>
      <c r="U102" s="13">
        <v>0</v>
      </c>
      <c r="V102" s="13">
        <v>0</v>
      </c>
      <c r="W102" s="13">
        <v>0</v>
      </c>
      <c r="X102" s="13">
        <v>0</v>
      </c>
      <c r="Y102" s="13">
        <v>30165.02</v>
      </c>
      <c r="Z102" s="13">
        <v>0</v>
      </c>
      <c r="AA102" s="13">
        <v>88990</v>
      </c>
      <c r="AB102" s="13">
        <v>0</v>
      </c>
      <c r="AC102" s="13">
        <v>0</v>
      </c>
      <c r="AD102" s="13">
        <v>0</v>
      </c>
      <c r="AE102" s="13">
        <v>0</v>
      </c>
      <c r="AF102" s="13">
        <f>SUM(E102:AE102)</f>
        <v>140021.02000000002</v>
      </c>
      <c r="AG102" s="8">
        <v>99</v>
      </c>
    </row>
    <row r="103" spans="2:33"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20031.400000000001</v>
      </c>
      <c r="Z104" s="13">
        <v>19.5</v>
      </c>
      <c r="AA104" s="13">
        <v>0</v>
      </c>
      <c r="AB104" s="13">
        <v>0</v>
      </c>
      <c r="AC104" s="13">
        <v>0</v>
      </c>
      <c r="AD104" s="13">
        <v>0</v>
      </c>
      <c r="AE104" s="13">
        <v>0</v>
      </c>
      <c r="AF104" s="13">
        <f>SUM(E104:AE104)</f>
        <v>20050.900000000001</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77">
        <v>44</v>
      </c>
      <c r="C106" s="77"/>
      <c r="D106" s="77" t="s">
        <v>158</v>
      </c>
      <c r="E106" s="78">
        <f>E107+E108+E109+E110+E111+E112+E113+E114+E115+E116</f>
        <v>7250</v>
      </c>
      <c r="F106" s="78">
        <f t="shared" ref="F106:AF106" si="37">F107+F108+F109+F110+F111+F112+F113+F114+F115+F116</f>
        <v>22672.78</v>
      </c>
      <c r="G106" s="78">
        <f t="shared" si="37"/>
        <v>302.12</v>
      </c>
      <c r="H106" s="78">
        <f t="shared" si="37"/>
        <v>27594.62</v>
      </c>
      <c r="I106" s="78">
        <f t="shared" si="37"/>
        <v>0</v>
      </c>
      <c r="J106" s="78">
        <f t="shared" si="37"/>
        <v>15075.1</v>
      </c>
      <c r="K106" s="78">
        <f t="shared" si="37"/>
        <v>12518</v>
      </c>
      <c r="L106" s="78">
        <f t="shared" si="37"/>
        <v>1564.06</v>
      </c>
      <c r="M106" s="78">
        <f t="shared" si="37"/>
        <v>0</v>
      </c>
      <c r="N106" s="78">
        <f t="shared" si="37"/>
        <v>0</v>
      </c>
      <c r="O106" s="78">
        <f t="shared" si="37"/>
        <v>65366.74</v>
      </c>
      <c r="P106" s="78">
        <f t="shared" si="37"/>
        <v>0</v>
      </c>
      <c r="Q106" s="78">
        <f t="shared" si="37"/>
        <v>0</v>
      </c>
      <c r="R106" s="78">
        <f t="shared" si="37"/>
        <v>0</v>
      </c>
      <c r="S106" s="78">
        <f t="shared" si="37"/>
        <v>23.95</v>
      </c>
      <c r="T106" s="78">
        <f t="shared" ref="T106" si="38">T107+T108+T109+T110+T111+T112+T113+T114+T115+T116</f>
        <v>29840.1</v>
      </c>
      <c r="U106" s="78">
        <f t="shared" si="37"/>
        <v>143093.17000000001</v>
      </c>
      <c r="V106" s="78">
        <f t="shared" si="37"/>
        <v>0</v>
      </c>
      <c r="W106" s="78">
        <f t="shared" si="37"/>
        <v>0</v>
      </c>
      <c r="X106" s="78">
        <f t="shared" si="37"/>
        <v>4732.17</v>
      </c>
      <c r="Y106" s="78">
        <f t="shared" si="37"/>
        <v>1088474.82</v>
      </c>
      <c r="Z106" s="78">
        <f t="shared" si="37"/>
        <v>1155.3300000000002</v>
      </c>
      <c r="AA106" s="78">
        <f t="shared" si="37"/>
        <v>4954.05</v>
      </c>
      <c r="AB106" s="78">
        <f t="shared" si="37"/>
        <v>0</v>
      </c>
      <c r="AC106" s="78">
        <f t="shared" si="37"/>
        <v>3.9</v>
      </c>
      <c r="AD106" s="78">
        <f t="shared" si="37"/>
        <v>21643.7</v>
      </c>
      <c r="AE106" s="78">
        <f t="shared" si="37"/>
        <v>708.33</v>
      </c>
      <c r="AF106" s="78">
        <f t="shared" si="37"/>
        <v>1446972.94</v>
      </c>
      <c r="AG106" s="8">
        <v>103</v>
      </c>
    </row>
    <row r="107" spans="2:33" x14ac:dyDescent="0.2">
      <c r="C107" s="8">
        <v>440</v>
      </c>
      <c r="D107" s="8" t="s">
        <v>159</v>
      </c>
      <c r="E107" s="13">
        <v>0</v>
      </c>
      <c r="F107" s="13">
        <v>22672.78</v>
      </c>
      <c r="G107" s="13">
        <v>302.12</v>
      </c>
      <c r="H107" s="13">
        <v>27594.62</v>
      </c>
      <c r="I107" s="13">
        <v>0</v>
      </c>
      <c r="J107" s="13">
        <v>11.2</v>
      </c>
      <c r="K107" s="13">
        <v>0</v>
      </c>
      <c r="L107" s="13">
        <v>1364.06</v>
      </c>
      <c r="M107" s="13">
        <v>0</v>
      </c>
      <c r="N107" s="13">
        <v>0</v>
      </c>
      <c r="O107" s="13">
        <v>65366.74</v>
      </c>
      <c r="P107" s="13">
        <v>0</v>
      </c>
      <c r="Q107" s="13">
        <v>0</v>
      </c>
      <c r="R107" s="13">
        <v>0</v>
      </c>
      <c r="S107" s="13">
        <v>23.95</v>
      </c>
      <c r="T107" s="13">
        <v>0</v>
      </c>
      <c r="U107" s="13">
        <v>603.16999999999996</v>
      </c>
      <c r="V107" s="13">
        <v>0</v>
      </c>
      <c r="W107" s="13">
        <v>0</v>
      </c>
      <c r="X107" s="13">
        <v>3602.17</v>
      </c>
      <c r="Y107" s="13">
        <v>1409.95</v>
      </c>
      <c r="Z107" s="13">
        <v>1151.43</v>
      </c>
      <c r="AA107" s="13">
        <v>4954.05</v>
      </c>
      <c r="AB107" s="13">
        <v>0</v>
      </c>
      <c r="AC107" s="13">
        <v>3.9</v>
      </c>
      <c r="AD107" s="13">
        <v>0</v>
      </c>
      <c r="AE107" s="13">
        <v>708.33</v>
      </c>
      <c r="AF107" s="13">
        <f t="shared" ref="AF107:AF116" si="39">SUM(E107:AE107)</f>
        <v>129768.46999999997</v>
      </c>
      <c r="AG107" s="8">
        <v>104</v>
      </c>
    </row>
    <row r="108" spans="2:33"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0</v>
      </c>
      <c r="X108" s="13">
        <v>0</v>
      </c>
      <c r="Y108" s="13">
        <v>0</v>
      </c>
      <c r="Z108" s="13">
        <v>0</v>
      </c>
      <c r="AA108" s="13">
        <v>0</v>
      </c>
      <c r="AB108" s="13">
        <v>0</v>
      </c>
      <c r="AC108" s="13">
        <v>0</v>
      </c>
      <c r="AD108" s="13">
        <v>0</v>
      </c>
      <c r="AE108" s="13">
        <v>0</v>
      </c>
      <c r="AF108" s="13">
        <f t="shared" si="39"/>
        <v>0</v>
      </c>
      <c r="AG108" s="8">
        <v>105</v>
      </c>
    </row>
    <row r="109" spans="2:33" x14ac:dyDescent="0.2">
      <c r="C109" s="8">
        <v>442</v>
      </c>
      <c r="D109" s="8" t="s">
        <v>161</v>
      </c>
      <c r="E109" s="13">
        <v>0</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3.9</v>
      </c>
      <c r="AA109" s="13">
        <v>0</v>
      </c>
      <c r="AB109" s="13">
        <v>0</v>
      </c>
      <c r="AC109" s="13">
        <v>0</v>
      </c>
      <c r="AD109" s="13">
        <v>0</v>
      </c>
      <c r="AE109" s="13">
        <v>0</v>
      </c>
      <c r="AF109" s="13">
        <f t="shared" si="39"/>
        <v>3.9</v>
      </c>
      <c r="AG109" s="8">
        <v>106</v>
      </c>
    </row>
    <row r="110" spans="2:33" x14ac:dyDescent="0.2">
      <c r="C110" s="8">
        <v>443</v>
      </c>
      <c r="D110" s="8" t="s">
        <v>162</v>
      </c>
      <c r="E110" s="13">
        <v>0</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142490</v>
      </c>
      <c r="V110" s="13">
        <v>0</v>
      </c>
      <c r="W110" s="13">
        <v>0</v>
      </c>
      <c r="X110" s="13">
        <v>0</v>
      </c>
      <c r="Y110" s="13">
        <v>0</v>
      </c>
      <c r="Z110" s="13">
        <v>0</v>
      </c>
      <c r="AA110" s="13">
        <v>0</v>
      </c>
      <c r="AB110" s="13">
        <v>0</v>
      </c>
      <c r="AC110" s="13">
        <v>0</v>
      </c>
      <c r="AD110" s="13">
        <v>0</v>
      </c>
      <c r="AE110" s="13">
        <v>0</v>
      </c>
      <c r="AF110" s="13">
        <f t="shared" si="39"/>
        <v>142490</v>
      </c>
      <c r="AG110" s="8">
        <v>107</v>
      </c>
    </row>
    <row r="111" spans="2:33" x14ac:dyDescent="0.2">
      <c r="C111" s="8">
        <v>444</v>
      </c>
      <c r="D111" s="8" t="s">
        <v>102</v>
      </c>
      <c r="E111" s="13">
        <v>0</v>
      </c>
      <c r="F111" s="13">
        <v>0</v>
      </c>
      <c r="G111" s="13">
        <v>0</v>
      </c>
      <c r="H111" s="13">
        <v>0</v>
      </c>
      <c r="I111" s="13">
        <v>0</v>
      </c>
      <c r="J111" s="13">
        <v>0</v>
      </c>
      <c r="K111" s="13">
        <v>0</v>
      </c>
      <c r="L111" s="13">
        <v>200</v>
      </c>
      <c r="M111" s="13">
        <v>0</v>
      </c>
      <c r="N111" s="13">
        <v>0</v>
      </c>
      <c r="O111" s="13">
        <v>0</v>
      </c>
      <c r="P111" s="13">
        <v>0</v>
      </c>
      <c r="Q111" s="13">
        <v>0</v>
      </c>
      <c r="R111" s="13">
        <v>0</v>
      </c>
      <c r="S111" s="13">
        <v>0</v>
      </c>
      <c r="T111" s="13">
        <v>1.35</v>
      </c>
      <c r="U111" s="13">
        <v>0</v>
      </c>
      <c r="V111" s="13">
        <v>0</v>
      </c>
      <c r="W111" s="13">
        <v>0</v>
      </c>
      <c r="X111" s="13">
        <v>0</v>
      </c>
      <c r="Y111" s="13">
        <v>0</v>
      </c>
      <c r="Z111" s="13">
        <v>0</v>
      </c>
      <c r="AA111" s="13">
        <v>0</v>
      </c>
      <c r="AB111" s="13">
        <v>0</v>
      </c>
      <c r="AC111" s="13">
        <v>0</v>
      </c>
      <c r="AD111" s="13">
        <v>0</v>
      </c>
      <c r="AE111" s="13">
        <v>0</v>
      </c>
      <c r="AF111" s="13">
        <f t="shared" si="39"/>
        <v>201.35</v>
      </c>
      <c r="AG111" s="8">
        <v>108</v>
      </c>
    </row>
    <row r="112" spans="2:33"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f t="shared" si="39"/>
        <v>0</v>
      </c>
      <c r="AG112" s="8">
        <v>109</v>
      </c>
    </row>
    <row r="113" spans="2:33"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f t="shared" si="39"/>
        <v>0</v>
      </c>
      <c r="AG113" s="8">
        <v>110</v>
      </c>
    </row>
    <row r="114" spans="2:33" x14ac:dyDescent="0.2">
      <c r="C114" s="8">
        <v>447</v>
      </c>
      <c r="D114" s="8" t="s">
        <v>165</v>
      </c>
      <c r="E114" s="13">
        <v>7250</v>
      </c>
      <c r="F114" s="13">
        <v>0</v>
      </c>
      <c r="G114" s="13">
        <v>0</v>
      </c>
      <c r="H114" s="13">
        <v>0</v>
      </c>
      <c r="I114" s="13">
        <v>0</v>
      </c>
      <c r="J114" s="13">
        <v>15063.9</v>
      </c>
      <c r="K114" s="13">
        <v>12518</v>
      </c>
      <c r="L114" s="13">
        <v>0</v>
      </c>
      <c r="M114" s="13">
        <v>0</v>
      </c>
      <c r="N114" s="13">
        <v>0</v>
      </c>
      <c r="O114" s="13">
        <v>0</v>
      </c>
      <c r="P114" s="13">
        <v>0</v>
      </c>
      <c r="Q114" s="13">
        <v>0</v>
      </c>
      <c r="R114" s="13">
        <v>0</v>
      </c>
      <c r="S114" s="13">
        <v>0</v>
      </c>
      <c r="T114" s="13">
        <v>29838.75</v>
      </c>
      <c r="U114" s="13">
        <v>0</v>
      </c>
      <c r="V114" s="13">
        <v>0</v>
      </c>
      <c r="W114" s="13">
        <v>0</v>
      </c>
      <c r="X114" s="13">
        <v>1130</v>
      </c>
      <c r="Y114" s="13">
        <v>1087064.8700000001</v>
      </c>
      <c r="Z114" s="13">
        <v>0</v>
      </c>
      <c r="AA114" s="13">
        <v>0</v>
      </c>
      <c r="AB114" s="13">
        <v>0</v>
      </c>
      <c r="AC114" s="13">
        <v>0</v>
      </c>
      <c r="AD114" s="13">
        <v>21643.7</v>
      </c>
      <c r="AE114" s="13">
        <v>0</v>
      </c>
      <c r="AF114" s="13">
        <f t="shared" si="39"/>
        <v>1174509.22</v>
      </c>
      <c r="AG114" s="8">
        <v>111</v>
      </c>
    </row>
    <row r="115" spans="2:33"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f t="shared" si="39"/>
        <v>0</v>
      </c>
      <c r="AG115" s="8">
        <v>112</v>
      </c>
    </row>
    <row r="116" spans="2:33" x14ac:dyDescent="0.2">
      <c r="C116" s="8">
        <v>449</v>
      </c>
      <c r="D116" s="8" t="s">
        <v>167</v>
      </c>
      <c r="E116" s="13">
        <v>0</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f t="shared" si="39"/>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77">
        <v>45</v>
      </c>
      <c r="C118" s="77"/>
      <c r="D118" s="77" t="s">
        <v>170</v>
      </c>
      <c r="E118" s="78">
        <f>E119+E120</f>
        <v>0</v>
      </c>
      <c r="F118" s="78">
        <f t="shared" ref="F118:AF118" si="40">F119+F120</f>
        <v>1764953.59</v>
      </c>
      <c r="G118" s="78">
        <f t="shared" si="40"/>
        <v>0</v>
      </c>
      <c r="H118" s="78">
        <f t="shared" si="40"/>
        <v>200000</v>
      </c>
      <c r="I118" s="78">
        <f t="shared" si="40"/>
        <v>0</v>
      </c>
      <c r="J118" s="78">
        <f t="shared" si="40"/>
        <v>931.5</v>
      </c>
      <c r="K118" s="78">
        <f t="shared" si="40"/>
        <v>0</v>
      </c>
      <c r="L118" s="78">
        <f t="shared" si="40"/>
        <v>0</v>
      </c>
      <c r="M118" s="78">
        <f t="shared" si="40"/>
        <v>0</v>
      </c>
      <c r="N118" s="78">
        <f t="shared" si="40"/>
        <v>0</v>
      </c>
      <c r="O118" s="78">
        <f t="shared" si="40"/>
        <v>2951482.9</v>
      </c>
      <c r="P118" s="78">
        <f t="shared" si="40"/>
        <v>0</v>
      </c>
      <c r="Q118" s="78">
        <f t="shared" si="40"/>
        <v>0</v>
      </c>
      <c r="R118" s="78">
        <f t="shared" si="40"/>
        <v>0</v>
      </c>
      <c r="S118" s="78">
        <f t="shared" si="40"/>
        <v>0</v>
      </c>
      <c r="T118" s="78">
        <f t="shared" ref="T118" si="41">T119+T120</f>
        <v>0</v>
      </c>
      <c r="U118" s="78">
        <f t="shared" si="40"/>
        <v>0</v>
      </c>
      <c r="V118" s="78">
        <f t="shared" si="40"/>
        <v>4800</v>
      </c>
      <c r="W118" s="78">
        <f t="shared" si="40"/>
        <v>0</v>
      </c>
      <c r="X118" s="78">
        <f t="shared" si="40"/>
        <v>0</v>
      </c>
      <c r="Y118" s="78">
        <f t="shared" si="40"/>
        <v>0</v>
      </c>
      <c r="Z118" s="78">
        <f t="shared" si="40"/>
        <v>0</v>
      </c>
      <c r="AA118" s="78">
        <f t="shared" si="40"/>
        <v>193793.06</v>
      </c>
      <c r="AB118" s="78">
        <f t="shared" si="40"/>
        <v>0</v>
      </c>
      <c r="AC118" s="78">
        <f t="shared" si="40"/>
        <v>0</v>
      </c>
      <c r="AD118" s="78">
        <f t="shared" si="40"/>
        <v>0</v>
      </c>
      <c r="AE118" s="78">
        <f t="shared" si="40"/>
        <v>0</v>
      </c>
      <c r="AF118" s="78">
        <f t="shared" si="40"/>
        <v>5115961.05</v>
      </c>
      <c r="AG118" s="8">
        <v>115</v>
      </c>
    </row>
    <row r="119" spans="2:33" x14ac:dyDescent="0.2">
      <c r="C119" s="8">
        <v>450</v>
      </c>
      <c r="D119" s="8" t="s">
        <v>168</v>
      </c>
      <c r="E119" s="13">
        <v>0</v>
      </c>
      <c r="F119" s="13">
        <v>0</v>
      </c>
      <c r="G119" s="13">
        <v>0</v>
      </c>
      <c r="H119" s="13">
        <v>200000</v>
      </c>
      <c r="I119" s="13">
        <v>0</v>
      </c>
      <c r="J119" s="13">
        <v>0</v>
      </c>
      <c r="K119" s="13">
        <v>0</v>
      </c>
      <c r="L119" s="13">
        <v>0</v>
      </c>
      <c r="M119" s="13">
        <v>0</v>
      </c>
      <c r="N119" s="13">
        <v>0</v>
      </c>
      <c r="O119" s="13">
        <v>0</v>
      </c>
      <c r="P119" s="13">
        <v>0</v>
      </c>
      <c r="Q119" s="13">
        <v>0</v>
      </c>
      <c r="R119" s="13">
        <v>0</v>
      </c>
      <c r="S119" s="13">
        <v>0</v>
      </c>
      <c r="T119" s="13">
        <v>0</v>
      </c>
      <c r="U119" s="13">
        <v>0</v>
      </c>
      <c r="V119" s="13">
        <v>0</v>
      </c>
      <c r="W119" s="13">
        <v>0</v>
      </c>
      <c r="X119" s="13">
        <v>0</v>
      </c>
      <c r="Y119" s="13">
        <v>0</v>
      </c>
      <c r="Z119" s="13">
        <v>0</v>
      </c>
      <c r="AA119" s="13">
        <v>0</v>
      </c>
      <c r="AB119" s="13">
        <v>0</v>
      </c>
      <c r="AC119" s="13">
        <v>0</v>
      </c>
      <c r="AD119" s="13">
        <v>0</v>
      </c>
      <c r="AE119" s="13">
        <v>0</v>
      </c>
      <c r="AF119" s="13">
        <f>SUM(E119:AE119)</f>
        <v>200000</v>
      </c>
      <c r="AG119" s="8">
        <v>116</v>
      </c>
    </row>
    <row r="120" spans="2:33" x14ac:dyDescent="0.2">
      <c r="C120" s="8">
        <v>451</v>
      </c>
      <c r="D120" s="8" t="s">
        <v>169</v>
      </c>
      <c r="E120" s="13">
        <v>0</v>
      </c>
      <c r="F120" s="13">
        <v>1764953.59</v>
      </c>
      <c r="G120" s="13">
        <v>0</v>
      </c>
      <c r="H120" s="13">
        <v>0</v>
      </c>
      <c r="I120" s="13">
        <v>0</v>
      </c>
      <c r="J120" s="13">
        <v>931.5</v>
      </c>
      <c r="K120" s="13">
        <v>0</v>
      </c>
      <c r="L120" s="13">
        <v>0</v>
      </c>
      <c r="M120" s="13">
        <v>0</v>
      </c>
      <c r="N120" s="13">
        <v>0</v>
      </c>
      <c r="O120" s="13">
        <v>2951482.9</v>
      </c>
      <c r="P120" s="13">
        <v>0</v>
      </c>
      <c r="Q120" s="13">
        <v>0</v>
      </c>
      <c r="R120" s="13">
        <v>0</v>
      </c>
      <c r="S120" s="13">
        <v>0</v>
      </c>
      <c r="T120" s="13">
        <v>0</v>
      </c>
      <c r="U120" s="13">
        <v>0</v>
      </c>
      <c r="V120" s="13">
        <v>4800</v>
      </c>
      <c r="W120" s="13">
        <v>0</v>
      </c>
      <c r="X120" s="13">
        <v>0</v>
      </c>
      <c r="Y120" s="13">
        <v>0</v>
      </c>
      <c r="Z120" s="13">
        <v>0</v>
      </c>
      <c r="AA120" s="13">
        <v>193793.06</v>
      </c>
      <c r="AB120" s="13">
        <v>0</v>
      </c>
      <c r="AC120" s="13">
        <v>0</v>
      </c>
      <c r="AD120" s="13">
        <v>0</v>
      </c>
      <c r="AE120" s="13">
        <v>0</v>
      </c>
      <c r="AF120" s="13">
        <f>SUM(E120:AE120)</f>
        <v>4915961.05</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77">
        <v>46</v>
      </c>
      <c r="C122" s="77"/>
      <c r="D122" s="77" t="s">
        <v>171</v>
      </c>
      <c r="E122" s="78">
        <f>E123+E124+E125+E126+E127</f>
        <v>715822.11</v>
      </c>
      <c r="F122" s="78">
        <f t="shared" ref="F122:AF122" si="42">F123+F124+F125+F126+F127</f>
        <v>3664398.85</v>
      </c>
      <c r="G122" s="78">
        <f t="shared" si="42"/>
        <v>39256</v>
      </c>
      <c r="H122" s="78">
        <f t="shared" si="42"/>
        <v>98168.25</v>
      </c>
      <c r="I122" s="78">
        <f t="shared" si="42"/>
        <v>173196.15</v>
      </c>
      <c r="J122" s="78">
        <f t="shared" si="42"/>
        <v>1009613.4500000001</v>
      </c>
      <c r="K122" s="78">
        <f t="shared" si="42"/>
        <v>2331683.52</v>
      </c>
      <c r="L122" s="78">
        <f t="shared" si="42"/>
        <v>0</v>
      </c>
      <c r="M122" s="78">
        <f t="shared" si="42"/>
        <v>264195.64</v>
      </c>
      <c r="N122" s="78">
        <f t="shared" si="42"/>
        <v>295716.56</v>
      </c>
      <c r="O122" s="78">
        <f t="shared" si="42"/>
        <v>299.45</v>
      </c>
      <c r="P122" s="78">
        <f t="shared" si="42"/>
        <v>20890</v>
      </c>
      <c r="Q122" s="78">
        <f t="shared" si="42"/>
        <v>7365.36</v>
      </c>
      <c r="R122" s="78">
        <f t="shared" si="42"/>
        <v>19800</v>
      </c>
      <c r="S122" s="78">
        <f t="shared" si="42"/>
        <v>1480</v>
      </c>
      <c r="T122" s="78">
        <f t="shared" ref="T122" si="43">T123+T124+T125+T126+T127</f>
        <v>52000</v>
      </c>
      <c r="U122" s="78">
        <f t="shared" si="42"/>
        <v>43860.2</v>
      </c>
      <c r="V122" s="78">
        <f t="shared" si="42"/>
        <v>499665.57</v>
      </c>
      <c r="W122" s="78">
        <f t="shared" si="42"/>
        <v>48088.800000000003</v>
      </c>
      <c r="X122" s="78">
        <f t="shared" si="42"/>
        <v>0</v>
      </c>
      <c r="Y122" s="78">
        <f t="shared" si="42"/>
        <v>2629158.48</v>
      </c>
      <c r="Z122" s="78">
        <f t="shared" si="42"/>
        <v>11.6</v>
      </c>
      <c r="AA122" s="78">
        <f t="shared" si="42"/>
        <v>1638976.25</v>
      </c>
      <c r="AB122" s="78">
        <f t="shared" si="42"/>
        <v>190642.4</v>
      </c>
      <c r="AC122" s="78">
        <f t="shared" si="42"/>
        <v>175574.73</v>
      </c>
      <c r="AD122" s="78">
        <f t="shared" si="42"/>
        <v>2872779.18</v>
      </c>
      <c r="AE122" s="78">
        <f t="shared" si="42"/>
        <v>224507.55</v>
      </c>
      <c r="AF122" s="78">
        <f t="shared" si="42"/>
        <v>17017150.100000005</v>
      </c>
      <c r="AG122" s="8">
        <v>119</v>
      </c>
    </row>
    <row r="123" spans="2:33"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173</v>
      </c>
      <c r="E124" s="13">
        <v>700826.71</v>
      </c>
      <c r="F124" s="13">
        <v>3664398.85</v>
      </c>
      <c r="G124" s="13">
        <v>39256</v>
      </c>
      <c r="H124" s="13">
        <v>60000.05</v>
      </c>
      <c r="I124" s="13">
        <v>173196.15</v>
      </c>
      <c r="J124" s="13">
        <v>1003330.4</v>
      </c>
      <c r="K124" s="13">
        <v>2301992.52</v>
      </c>
      <c r="L124" s="13">
        <v>0</v>
      </c>
      <c r="M124" s="13">
        <v>212280.64</v>
      </c>
      <c r="N124" s="13">
        <v>295716.56</v>
      </c>
      <c r="O124" s="13">
        <v>0</v>
      </c>
      <c r="P124" s="13">
        <v>20890</v>
      </c>
      <c r="Q124" s="13">
        <v>7365.36</v>
      </c>
      <c r="R124" s="13">
        <v>19800</v>
      </c>
      <c r="S124" s="13">
        <v>1480</v>
      </c>
      <c r="T124" s="13">
        <v>52000</v>
      </c>
      <c r="U124" s="13">
        <v>15000</v>
      </c>
      <c r="V124" s="13">
        <v>499613.02</v>
      </c>
      <c r="W124" s="13">
        <v>48088.800000000003</v>
      </c>
      <c r="X124" s="13">
        <v>0</v>
      </c>
      <c r="Y124" s="13">
        <v>2057598.04</v>
      </c>
      <c r="Z124" s="13">
        <v>0</v>
      </c>
      <c r="AA124" s="13">
        <v>1638770</v>
      </c>
      <c r="AB124" s="13">
        <v>158600</v>
      </c>
      <c r="AC124" s="13">
        <v>175574.73</v>
      </c>
      <c r="AD124" s="13">
        <v>2641669.56</v>
      </c>
      <c r="AE124" s="13">
        <v>214833.25</v>
      </c>
      <c r="AF124" s="13">
        <f>SUM(E124:AE124)</f>
        <v>16002280.640000002</v>
      </c>
      <c r="AG124" s="8">
        <v>121</v>
      </c>
    </row>
    <row r="125" spans="2:33"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v>0</v>
      </c>
      <c r="S125" s="13">
        <v>0</v>
      </c>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174</v>
      </c>
      <c r="E126" s="13">
        <v>14995.4</v>
      </c>
      <c r="F126" s="13">
        <v>0</v>
      </c>
      <c r="G126" s="13">
        <v>0</v>
      </c>
      <c r="H126" s="13">
        <v>37920</v>
      </c>
      <c r="I126" s="13">
        <v>0</v>
      </c>
      <c r="J126" s="13">
        <v>6178.8</v>
      </c>
      <c r="K126" s="13">
        <v>29691</v>
      </c>
      <c r="L126" s="13">
        <v>0</v>
      </c>
      <c r="M126" s="13">
        <v>51915</v>
      </c>
      <c r="N126" s="13">
        <v>0</v>
      </c>
      <c r="O126" s="13">
        <v>0</v>
      </c>
      <c r="P126" s="13">
        <v>0</v>
      </c>
      <c r="Q126" s="13">
        <v>0</v>
      </c>
      <c r="R126" s="13">
        <v>0</v>
      </c>
      <c r="S126" s="13">
        <v>0</v>
      </c>
      <c r="T126" s="13">
        <v>0</v>
      </c>
      <c r="U126" s="13">
        <v>28860.2</v>
      </c>
      <c r="V126" s="13">
        <v>0</v>
      </c>
      <c r="W126" s="13">
        <v>0</v>
      </c>
      <c r="X126" s="13">
        <v>0</v>
      </c>
      <c r="Y126" s="13">
        <v>571560.43999999994</v>
      </c>
      <c r="Z126" s="13">
        <v>0</v>
      </c>
      <c r="AA126" s="13">
        <v>0</v>
      </c>
      <c r="AB126" s="13">
        <v>0</v>
      </c>
      <c r="AC126" s="13">
        <v>0</v>
      </c>
      <c r="AD126" s="13">
        <v>230730.02</v>
      </c>
      <c r="AE126" s="13">
        <v>0</v>
      </c>
      <c r="AF126" s="13">
        <f>SUM(E126:AE126)</f>
        <v>971850.86</v>
      </c>
      <c r="AG126" s="8">
        <v>123</v>
      </c>
    </row>
    <row r="127" spans="2:33" x14ac:dyDescent="0.2">
      <c r="C127" s="8">
        <v>469</v>
      </c>
      <c r="D127" s="8" t="s">
        <v>175</v>
      </c>
      <c r="E127" s="13">
        <v>0</v>
      </c>
      <c r="F127" s="13">
        <v>0</v>
      </c>
      <c r="G127" s="13">
        <v>0</v>
      </c>
      <c r="H127" s="13">
        <v>248.2</v>
      </c>
      <c r="I127" s="13">
        <v>0</v>
      </c>
      <c r="J127" s="13">
        <v>104.25</v>
      </c>
      <c r="K127" s="13">
        <v>0</v>
      </c>
      <c r="L127" s="13">
        <v>0</v>
      </c>
      <c r="M127" s="13">
        <v>0</v>
      </c>
      <c r="N127" s="13">
        <v>0</v>
      </c>
      <c r="O127" s="13">
        <v>299.45</v>
      </c>
      <c r="P127" s="13">
        <v>0</v>
      </c>
      <c r="Q127" s="13">
        <v>0</v>
      </c>
      <c r="R127" s="13">
        <v>0</v>
      </c>
      <c r="S127" s="13">
        <v>0</v>
      </c>
      <c r="T127" s="13">
        <v>0</v>
      </c>
      <c r="U127" s="13">
        <v>0</v>
      </c>
      <c r="V127" s="13">
        <v>52.55</v>
      </c>
      <c r="W127" s="13">
        <v>0</v>
      </c>
      <c r="X127" s="13">
        <v>0</v>
      </c>
      <c r="Y127" s="13">
        <v>0</v>
      </c>
      <c r="Z127" s="13">
        <v>11.6</v>
      </c>
      <c r="AA127" s="13">
        <v>206.25</v>
      </c>
      <c r="AB127" s="13">
        <v>32042.400000000001</v>
      </c>
      <c r="AC127" s="13">
        <v>0</v>
      </c>
      <c r="AD127" s="13">
        <v>379.6</v>
      </c>
      <c r="AE127" s="13">
        <v>9674.2999999999993</v>
      </c>
      <c r="AF127" s="13">
        <f>SUM(E127:AE127)</f>
        <v>43018.600000000006</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77">
        <v>47</v>
      </c>
      <c r="C129" s="77"/>
      <c r="D129" s="77" t="s">
        <v>115</v>
      </c>
      <c r="E129" s="78">
        <f>E130</f>
        <v>0</v>
      </c>
      <c r="F129" s="78">
        <f t="shared" ref="F129:AF129" si="44">F130</f>
        <v>0</v>
      </c>
      <c r="G129" s="78">
        <f t="shared" si="44"/>
        <v>0</v>
      </c>
      <c r="H129" s="78">
        <f t="shared" si="44"/>
        <v>0</v>
      </c>
      <c r="I129" s="78">
        <f t="shared" si="44"/>
        <v>0</v>
      </c>
      <c r="J129" s="78">
        <f t="shared" si="44"/>
        <v>0</v>
      </c>
      <c r="K129" s="78">
        <f t="shared" si="44"/>
        <v>0</v>
      </c>
      <c r="L129" s="78">
        <f t="shared" si="44"/>
        <v>0</v>
      </c>
      <c r="M129" s="78">
        <f t="shared" si="44"/>
        <v>0</v>
      </c>
      <c r="N129" s="78">
        <f t="shared" si="44"/>
        <v>0</v>
      </c>
      <c r="O129" s="78">
        <f t="shared" si="44"/>
        <v>0</v>
      </c>
      <c r="P129" s="78">
        <f t="shared" si="44"/>
        <v>0</v>
      </c>
      <c r="Q129" s="78">
        <f t="shared" si="44"/>
        <v>0</v>
      </c>
      <c r="R129" s="78">
        <f t="shared" si="44"/>
        <v>0</v>
      </c>
      <c r="S129" s="78">
        <f t="shared" si="44"/>
        <v>0</v>
      </c>
      <c r="T129" s="78">
        <f t="shared" si="44"/>
        <v>0</v>
      </c>
      <c r="U129" s="78">
        <f t="shared" si="44"/>
        <v>0</v>
      </c>
      <c r="V129" s="78">
        <f t="shared" si="44"/>
        <v>0</v>
      </c>
      <c r="W129" s="78">
        <f t="shared" si="44"/>
        <v>0</v>
      </c>
      <c r="X129" s="78">
        <f t="shared" si="44"/>
        <v>0</v>
      </c>
      <c r="Y129" s="78">
        <f t="shared" si="44"/>
        <v>0</v>
      </c>
      <c r="Z129" s="78">
        <f t="shared" si="44"/>
        <v>0</v>
      </c>
      <c r="AA129" s="78">
        <f t="shared" si="44"/>
        <v>0</v>
      </c>
      <c r="AB129" s="78">
        <f t="shared" si="44"/>
        <v>0</v>
      </c>
      <c r="AC129" s="78">
        <f t="shared" si="44"/>
        <v>0</v>
      </c>
      <c r="AD129" s="78">
        <f t="shared" si="44"/>
        <v>0</v>
      </c>
      <c r="AE129" s="78">
        <f t="shared" si="44"/>
        <v>0</v>
      </c>
      <c r="AF129" s="78">
        <f t="shared" si="44"/>
        <v>0</v>
      </c>
      <c r="AG129" s="8">
        <v>126</v>
      </c>
    </row>
    <row r="130" spans="2:33"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77">
        <v>48</v>
      </c>
      <c r="C132" s="77"/>
      <c r="D132" s="77" t="s">
        <v>177</v>
      </c>
      <c r="E132" s="78">
        <f>E133+E134+E135+E136+E137+E138+E139</f>
        <v>0</v>
      </c>
      <c r="F132" s="78">
        <f t="shared" ref="F132:AF132" si="45">F133+F134+F135+F136+F137+F138+F139</f>
        <v>2001700</v>
      </c>
      <c r="G132" s="78">
        <f t="shared" si="45"/>
        <v>0</v>
      </c>
      <c r="H132" s="78">
        <f t="shared" si="45"/>
        <v>0</v>
      </c>
      <c r="I132" s="78">
        <f t="shared" si="45"/>
        <v>0</v>
      </c>
      <c r="J132" s="78">
        <f t="shared" si="45"/>
        <v>31902.69</v>
      </c>
      <c r="K132" s="78">
        <f t="shared" si="45"/>
        <v>0</v>
      </c>
      <c r="L132" s="78">
        <f t="shared" si="45"/>
        <v>0</v>
      </c>
      <c r="M132" s="78">
        <f t="shared" si="45"/>
        <v>0</v>
      </c>
      <c r="N132" s="78">
        <f t="shared" si="45"/>
        <v>0</v>
      </c>
      <c r="O132" s="78">
        <f t="shared" si="45"/>
        <v>0</v>
      </c>
      <c r="P132" s="78">
        <f t="shared" si="45"/>
        <v>0</v>
      </c>
      <c r="Q132" s="78">
        <f t="shared" si="45"/>
        <v>0</v>
      </c>
      <c r="R132" s="78">
        <f t="shared" si="45"/>
        <v>0</v>
      </c>
      <c r="S132" s="78">
        <f t="shared" si="45"/>
        <v>0</v>
      </c>
      <c r="T132" s="78">
        <f t="shared" ref="T132" si="46">T133+T134+T135+T136+T137+T138+T139</f>
        <v>0</v>
      </c>
      <c r="U132" s="78">
        <f t="shared" si="45"/>
        <v>0</v>
      </c>
      <c r="V132" s="78">
        <f t="shared" si="45"/>
        <v>0</v>
      </c>
      <c r="W132" s="78">
        <f t="shared" si="45"/>
        <v>0</v>
      </c>
      <c r="X132" s="78">
        <f t="shared" si="45"/>
        <v>0</v>
      </c>
      <c r="Y132" s="78">
        <f t="shared" si="45"/>
        <v>35746</v>
      </c>
      <c r="Z132" s="78">
        <f t="shared" si="45"/>
        <v>0</v>
      </c>
      <c r="AA132" s="78">
        <f t="shared" si="45"/>
        <v>0</v>
      </c>
      <c r="AB132" s="78">
        <f t="shared" si="45"/>
        <v>0</v>
      </c>
      <c r="AC132" s="78">
        <f t="shared" si="45"/>
        <v>0</v>
      </c>
      <c r="AD132" s="78">
        <f t="shared" si="45"/>
        <v>0</v>
      </c>
      <c r="AE132" s="78">
        <f t="shared" si="45"/>
        <v>0</v>
      </c>
      <c r="AF132" s="78">
        <f t="shared" si="45"/>
        <v>2069348.69</v>
      </c>
      <c r="AG132" s="8">
        <v>129</v>
      </c>
    </row>
    <row r="133" spans="2:33"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f t="shared" ref="AF133:AF139" si="47">SUM(E133:AE133)</f>
        <v>0</v>
      </c>
      <c r="AG133" s="8">
        <v>130</v>
      </c>
    </row>
    <row r="134" spans="2:33"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f t="shared" si="47"/>
        <v>0</v>
      </c>
      <c r="AG134" s="8">
        <v>131</v>
      </c>
    </row>
    <row r="135" spans="2:33"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0</v>
      </c>
      <c r="AE135" s="13">
        <v>0</v>
      </c>
      <c r="AF135" s="13">
        <f t="shared" si="47"/>
        <v>0</v>
      </c>
      <c r="AG135" s="8">
        <v>132</v>
      </c>
    </row>
    <row r="136" spans="2:33" x14ac:dyDescent="0.2">
      <c r="C136" s="8">
        <v>484</v>
      </c>
      <c r="D136" s="8" t="s">
        <v>181</v>
      </c>
      <c r="E136" s="13">
        <v>0</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f t="shared" si="47"/>
        <v>0</v>
      </c>
      <c r="AG136" s="8">
        <v>133</v>
      </c>
    </row>
    <row r="137" spans="2:33"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f t="shared" si="47"/>
        <v>0</v>
      </c>
      <c r="AG137" s="8">
        <v>134</v>
      </c>
    </row>
    <row r="138" spans="2:33"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f t="shared" si="47"/>
        <v>0</v>
      </c>
      <c r="AG138" s="8">
        <v>135</v>
      </c>
    </row>
    <row r="139" spans="2:33" x14ac:dyDescent="0.2">
      <c r="C139" s="8">
        <v>489</v>
      </c>
      <c r="D139" s="8" t="s">
        <v>184</v>
      </c>
      <c r="E139" s="13">
        <v>0</v>
      </c>
      <c r="F139" s="13">
        <v>2001700</v>
      </c>
      <c r="G139" s="13">
        <v>0</v>
      </c>
      <c r="H139" s="13">
        <v>0</v>
      </c>
      <c r="I139" s="13">
        <v>0</v>
      </c>
      <c r="J139" s="13">
        <v>31902.69</v>
      </c>
      <c r="K139" s="13">
        <v>0</v>
      </c>
      <c r="L139" s="13">
        <v>0</v>
      </c>
      <c r="M139" s="13">
        <v>0</v>
      </c>
      <c r="N139" s="13">
        <v>0</v>
      </c>
      <c r="O139" s="13">
        <v>0</v>
      </c>
      <c r="P139" s="13">
        <v>0</v>
      </c>
      <c r="Q139" s="13">
        <v>0</v>
      </c>
      <c r="R139" s="13">
        <v>0</v>
      </c>
      <c r="S139" s="13">
        <v>0</v>
      </c>
      <c r="T139" s="13">
        <v>0</v>
      </c>
      <c r="U139" s="13">
        <v>0</v>
      </c>
      <c r="V139" s="13">
        <v>0</v>
      </c>
      <c r="W139" s="13">
        <v>0</v>
      </c>
      <c r="X139" s="13">
        <v>0</v>
      </c>
      <c r="Y139" s="13">
        <v>35746</v>
      </c>
      <c r="Z139" s="13">
        <v>0</v>
      </c>
      <c r="AA139" s="13">
        <v>0</v>
      </c>
      <c r="AB139" s="13">
        <v>0</v>
      </c>
      <c r="AC139" s="13">
        <v>0</v>
      </c>
      <c r="AD139" s="13">
        <v>0</v>
      </c>
      <c r="AE139" s="13">
        <v>0</v>
      </c>
      <c r="AF139" s="13">
        <f t="shared" si="47"/>
        <v>2069348.69</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77">
        <v>49</v>
      </c>
      <c r="C141" s="77"/>
      <c r="D141" s="77" t="s">
        <v>124</v>
      </c>
      <c r="E141" s="78">
        <f>E142+E143+E144+E145+E146+E147+E148+E149</f>
        <v>0</v>
      </c>
      <c r="F141" s="78">
        <f t="shared" ref="F141:AF141" si="48">F142+F143+F144+F145+F146+F147+F148+F149</f>
        <v>0</v>
      </c>
      <c r="G141" s="78">
        <f t="shared" si="48"/>
        <v>0</v>
      </c>
      <c r="H141" s="78">
        <f t="shared" si="48"/>
        <v>0</v>
      </c>
      <c r="I141" s="78">
        <f t="shared" si="48"/>
        <v>0</v>
      </c>
      <c r="J141" s="78">
        <f t="shared" si="48"/>
        <v>0</v>
      </c>
      <c r="K141" s="78">
        <f t="shared" si="48"/>
        <v>0</v>
      </c>
      <c r="L141" s="78">
        <f t="shared" si="48"/>
        <v>0</v>
      </c>
      <c r="M141" s="78">
        <f t="shared" si="48"/>
        <v>0</v>
      </c>
      <c r="N141" s="78">
        <f t="shared" si="48"/>
        <v>0</v>
      </c>
      <c r="O141" s="78">
        <f t="shared" si="48"/>
        <v>0</v>
      </c>
      <c r="P141" s="78">
        <f t="shared" si="48"/>
        <v>0</v>
      </c>
      <c r="Q141" s="78">
        <f t="shared" si="48"/>
        <v>0</v>
      </c>
      <c r="R141" s="78">
        <f t="shared" si="48"/>
        <v>0</v>
      </c>
      <c r="S141" s="78">
        <f t="shared" si="48"/>
        <v>0</v>
      </c>
      <c r="T141" s="78">
        <f t="shared" ref="T141" si="49">T142+T143+T144+T145+T146+T147+T148+T149</f>
        <v>0.5</v>
      </c>
      <c r="U141" s="78">
        <f t="shared" si="48"/>
        <v>350</v>
      </c>
      <c r="V141" s="78">
        <f t="shared" si="48"/>
        <v>183151.01</v>
      </c>
      <c r="W141" s="78">
        <f t="shared" si="48"/>
        <v>0</v>
      </c>
      <c r="X141" s="78">
        <f t="shared" si="48"/>
        <v>0</v>
      </c>
      <c r="Y141" s="78">
        <f t="shared" si="48"/>
        <v>243.6</v>
      </c>
      <c r="Z141" s="78">
        <f t="shared" si="48"/>
        <v>25053.9</v>
      </c>
      <c r="AA141" s="78">
        <f t="shared" si="48"/>
        <v>0</v>
      </c>
      <c r="AB141" s="78">
        <f t="shared" si="48"/>
        <v>0</v>
      </c>
      <c r="AC141" s="78">
        <f t="shared" si="48"/>
        <v>0</v>
      </c>
      <c r="AD141" s="78">
        <f t="shared" si="48"/>
        <v>0</v>
      </c>
      <c r="AE141" s="78">
        <f t="shared" si="48"/>
        <v>0</v>
      </c>
      <c r="AF141" s="78">
        <f t="shared" si="48"/>
        <v>208799.01</v>
      </c>
      <c r="AG141" s="8">
        <v>138</v>
      </c>
    </row>
    <row r="142" spans="2:33" x14ac:dyDescent="0.2">
      <c r="C142" s="8">
        <v>490</v>
      </c>
      <c r="D142" s="8" t="s">
        <v>125</v>
      </c>
      <c r="E142" s="13">
        <v>0</v>
      </c>
      <c r="F142" s="13">
        <v>0</v>
      </c>
      <c r="G142" s="13">
        <v>0</v>
      </c>
      <c r="H142" s="13">
        <v>0</v>
      </c>
      <c r="I142" s="13">
        <v>0</v>
      </c>
      <c r="J142" s="13">
        <v>0</v>
      </c>
      <c r="K142" s="13">
        <v>0</v>
      </c>
      <c r="L142" s="13">
        <v>0</v>
      </c>
      <c r="M142" s="13">
        <v>0</v>
      </c>
      <c r="N142" s="13">
        <v>0</v>
      </c>
      <c r="O142" s="13">
        <v>0</v>
      </c>
      <c r="P142" s="13">
        <v>0</v>
      </c>
      <c r="Q142" s="13">
        <v>0</v>
      </c>
      <c r="R142" s="13">
        <v>0</v>
      </c>
      <c r="S142" s="13">
        <v>0</v>
      </c>
      <c r="T142" s="13">
        <v>0</v>
      </c>
      <c r="U142" s="13">
        <v>0</v>
      </c>
      <c r="V142" s="13">
        <v>0</v>
      </c>
      <c r="W142" s="13">
        <v>0</v>
      </c>
      <c r="X142" s="13">
        <v>0</v>
      </c>
      <c r="Y142" s="13">
        <v>0</v>
      </c>
      <c r="Z142" s="13">
        <v>0</v>
      </c>
      <c r="AA142" s="13">
        <v>0</v>
      </c>
      <c r="AB142" s="13">
        <v>0</v>
      </c>
      <c r="AC142" s="13">
        <v>0</v>
      </c>
      <c r="AD142" s="13">
        <v>0</v>
      </c>
      <c r="AE142" s="13">
        <v>0</v>
      </c>
      <c r="AF142" s="13">
        <f t="shared" ref="AF142:AF149" si="50">SUM(E142:AE142)</f>
        <v>0</v>
      </c>
      <c r="AG142" s="8">
        <v>139</v>
      </c>
    </row>
    <row r="143" spans="2:33" x14ac:dyDescent="0.2">
      <c r="C143" s="8">
        <v>491</v>
      </c>
      <c r="D143" s="8" t="s">
        <v>126</v>
      </c>
      <c r="E143" s="13">
        <v>0</v>
      </c>
      <c r="F143" s="13">
        <v>0</v>
      </c>
      <c r="G143" s="13">
        <v>0</v>
      </c>
      <c r="H143" s="13">
        <v>0</v>
      </c>
      <c r="I143" s="13">
        <v>0</v>
      </c>
      <c r="J143" s="13">
        <v>0</v>
      </c>
      <c r="K143" s="13">
        <v>0</v>
      </c>
      <c r="L143" s="13">
        <v>0</v>
      </c>
      <c r="M143" s="13">
        <v>0</v>
      </c>
      <c r="N143" s="13">
        <v>0</v>
      </c>
      <c r="O143" s="13">
        <v>0</v>
      </c>
      <c r="P143" s="13">
        <v>0</v>
      </c>
      <c r="Q143" s="13">
        <v>0</v>
      </c>
      <c r="R143" s="13">
        <v>0</v>
      </c>
      <c r="S143" s="13">
        <v>0</v>
      </c>
      <c r="T143" s="13">
        <v>0</v>
      </c>
      <c r="U143" s="13">
        <v>350</v>
      </c>
      <c r="V143" s="13">
        <v>0</v>
      </c>
      <c r="W143" s="13">
        <v>0</v>
      </c>
      <c r="X143" s="13">
        <v>0</v>
      </c>
      <c r="Y143" s="13">
        <v>243.6</v>
      </c>
      <c r="Z143" s="13">
        <v>0</v>
      </c>
      <c r="AA143" s="13">
        <v>0</v>
      </c>
      <c r="AB143" s="13">
        <v>0</v>
      </c>
      <c r="AC143" s="13">
        <v>0</v>
      </c>
      <c r="AD143" s="13">
        <v>0</v>
      </c>
      <c r="AE143" s="13">
        <v>0</v>
      </c>
      <c r="AF143" s="13">
        <f t="shared" si="50"/>
        <v>593.6</v>
      </c>
      <c r="AG143" s="8">
        <v>140</v>
      </c>
    </row>
    <row r="144" spans="2:33"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v>0</v>
      </c>
      <c r="S144" s="13">
        <v>0</v>
      </c>
      <c r="T144" s="13">
        <v>0</v>
      </c>
      <c r="U144" s="13">
        <v>0</v>
      </c>
      <c r="V144" s="13">
        <v>0</v>
      </c>
      <c r="W144" s="13">
        <v>0</v>
      </c>
      <c r="X144" s="13">
        <v>0</v>
      </c>
      <c r="Y144" s="13">
        <v>0</v>
      </c>
      <c r="Z144" s="13">
        <v>0</v>
      </c>
      <c r="AA144" s="13">
        <v>0</v>
      </c>
      <c r="AB144" s="13">
        <v>0</v>
      </c>
      <c r="AC144" s="13">
        <v>0</v>
      </c>
      <c r="AD144" s="13">
        <v>0</v>
      </c>
      <c r="AE144" s="13">
        <v>0</v>
      </c>
      <c r="AF144" s="13">
        <f t="shared" si="50"/>
        <v>0</v>
      </c>
      <c r="AG144" s="8">
        <v>141</v>
      </c>
    </row>
    <row r="145" spans="1:33"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v>0</v>
      </c>
      <c r="S145" s="13">
        <v>0</v>
      </c>
      <c r="T145" s="13">
        <v>0</v>
      </c>
      <c r="U145" s="13">
        <v>0</v>
      </c>
      <c r="V145" s="13">
        <v>0</v>
      </c>
      <c r="W145" s="13">
        <v>0</v>
      </c>
      <c r="X145" s="13">
        <v>0</v>
      </c>
      <c r="Y145" s="13">
        <v>0</v>
      </c>
      <c r="Z145" s="13">
        <v>0</v>
      </c>
      <c r="AA145" s="13">
        <v>0</v>
      </c>
      <c r="AB145" s="13">
        <v>0</v>
      </c>
      <c r="AC145" s="13">
        <v>0</v>
      </c>
      <c r="AD145" s="13">
        <v>0</v>
      </c>
      <c r="AE145" s="13">
        <v>0</v>
      </c>
      <c r="AF145" s="13">
        <f t="shared" si="50"/>
        <v>0</v>
      </c>
      <c r="AG145" s="8">
        <v>142</v>
      </c>
    </row>
    <row r="146" spans="1:33"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v>0</v>
      </c>
      <c r="S146" s="13">
        <v>0</v>
      </c>
      <c r="T146" s="13">
        <v>0.5</v>
      </c>
      <c r="U146" s="13">
        <v>0</v>
      </c>
      <c r="V146" s="13">
        <v>0</v>
      </c>
      <c r="W146" s="13">
        <v>0</v>
      </c>
      <c r="X146" s="13">
        <v>0</v>
      </c>
      <c r="Y146" s="13">
        <v>0</v>
      </c>
      <c r="Z146" s="13">
        <v>25053.9</v>
      </c>
      <c r="AA146" s="13">
        <v>0</v>
      </c>
      <c r="AB146" s="13">
        <v>0</v>
      </c>
      <c r="AC146" s="13">
        <v>0</v>
      </c>
      <c r="AD146" s="13">
        <v>0</v>
      </c>
      <c r="AE146" s="13">
        <v>0</v>
      </c>
      <c r="AF146" s="13">
        <f t="shared" si="50"/>
        <v>25054.400000000001</v>
      </c>
      <c r="AG146" s="8">
        <v>143</v>
      </c>
    </row>
    <row r="147" spans="1:33"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f t="shared" si="50"/>
        <v>0</v>
      </c>
      <c r="AG147" s="8">
        <v>144</v>
      </c>
    </row>
    <row r="148" spans="1:33"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183151.01</v>
      </c>
      <c r="W148" s="13">
        <v>0</v>
      </c>
      <c r="X148" s="13">
        <v>0</v>
      </c>
      <c r="Y148" s="13">
        <v>0</v>
      </c>
      <c r="Z148" s="13">
        <v>0</v>
      </c>
      <c r="AA148" s="13">
        <v>0</v>
      </c>
      <c r="AB148" s="13">
        <v>0</v>
      </c>
      <c r="AC148" s="13">
        <v>0</v>
      </c>
      <c r="AD148" s="13">
        <v>0</v>
      </c>
      <c r="AE148" s="13">
        <v>0</v>
      </c>
      <c r="AF148" s="13">
        <f t="shared" si="50"/>
        <v>183151.01</v>
      </c>
      <c r="AG148" s="8">
        <v>145</v>
      </c>
    </row>
    <row r="149" spans="1:33"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f t="shared" si="50"/>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
        <v>150</v>
      </c>
    </row>
    <row r="154" spans="1:33" ht="15" x14ac:dyDescent="0.25">
      <c r="A154" s="79"/>
      <c r="B154" s="79">
        <v>90</v>
      </c>
      <c r="C154" s="79"/>
      <c r="D154" s="79" t="s">
        <v>191</v>
      </c>
      <c r="E154" s="81">
        <f>E155+E156</f>
        <v>0</v>
      </c>
      <c r="F154" s="81">
        <f t="shared" ref="F154:AF154" si="51">F155+F156</f>
        <v>0</v>
      </c>
      <c r="G154" s="81">
        <f t="shared" si="51"/>
        <v>29380.97</v>
      </c>
      <c r="H154" s="81">
        <f t="shared" si="51"/>
        <v>131360.03</v>
      </c>
      <c r="I154" s="81">
        <f t="shared" si="51"/>
        <v>0</v>
      </c>
      <c r="J154" s="81">
        <f t="shared" si="51"/>
        <v>0</v>
      </c>
      <c r="K154" s="81">
        <f t="shared" si="51"/>
        <v>0</v>
      </c>
      <c r="L154" s="81">
        <f t="shared" si="51"/>
        <v>19754.099999999999</v>
      </c>
      <c r="M154" s="81">
        <f t="shared" si="51"/>
        <v>0</v>
      </c>
      <c r="N154" s="81">
        <f t="shared" si="51"/>
        <v>0</v>
      </c>
      <c r="O154" s="81">
        <f t="shared" si="51"/>
        <v>212168.06</v>
      </c>
      <c r="P154" s="81">
        <f t="shared" si="51"/>
        <v>0</v>
      </c>
      <c r="Q154" s="81">
        <f t="shared" si="51"/>
        <v>0</v>
      </c>
      <c r="R154" s="81">
        <f t="shared" si="51"/>
        <v>-84.41</v>
      </c>
      <c r="S154" s="81">
        <f t="shared" si="51"/>
        <v>-182.15</v>
      </c>
      <c r="T154" s="81">
        <f t="shared" ref="T154" si="52">T155+T156</f>
        <v>-17144.7</v>
      </c>
      <c r="U154" s="81">
        <f t="shared" si="51"/>
        <v>87200.87</v>
      </c>
      <c r="V154" s="81">
        <f t="shared" si="51"/>
        <v>0</v>
      </c>
      <c r="W154" s="81">
        <f t="shared" si="51"/>
        <v>1086.9000000000001</v>
      </c>
      <c r="X154" s="81">
        <f t="shared" si="51"/>
        <v>-6532.15</v>
      </c>
      <c r="Y154" s="81">
        <f t="shared" si="51"/>
        <v>132298.04999999999</v>
      </c>
      <c r="Z154" s="81">
        <f t="shared" si="51"/>
        <v>-1825.16</v>
      </c>
      <c r="AA154" s="81">
        <f t="shared" si="51"/>
        <v>-1189.25</v>
      </c>
      <c r="AB154" s="81">
        <f t="shared" si="51"/>
        <v>-46773.440000000002</v>
      </c>
      <c r="AC154" s="81">
        <f t="shared" si="51"/>
        <v>0</v>
      </c>
      <c r="AD154" s="81">
        <f t="shared" si="51"/>
        <v>-50756.89</v>
      </c>
      <c r="AE154" s="81">
        <f t="shared" si="51"/>
        <v>9612.2800000000007</v>
      </c>
      <c r="AF154" s="81">
        <f t="shared" si="51"/>
        <v>498373.11000000004</v>
      </c>
      <c r="AG154" s="8">
        <v>151</v>
      </c>
    </row>
    <row r="155" spans="1:33" x14ac:dyDescent="0.2">
      <c r="C155" s="8">
        <v>900</v>
      </c>
      <c r="D155" s="8" t="s">
        <v>192</v>
      </c>
      <c r="E155" s="13">
        <v>0</v>
      </c>
      <c r="F155" s="13">
        <v>0</v>
      </c>
      <c r="G155" s="13">
        <v>29380.97</v>
      </c>
      <c r="H155" s="13">
        <v>131360.03</v>
      </c>
      <c r="I155" s="13">
        <v>0</v>
      </c>
      <c r="J155" s="13">
        <v>0</v>
      </c>
      <c r="K155" s="13">
        <v>0</v>
      </c>
      <c r="L155" s="13">
        <v>0</v>
      </c>
      <c r="M155" s="13">
        <v>0</v>
      </c>
      <c r="N155" s="13">
        <v>0</v>
      </c>
      <c r="O155" s="13">
        <v>212168.06</v>
      </c>
      <c r="P155" s="13">
        <v>0</v>
      </c>
      <c r="Q155" s="13">
        <v>0</v>
      </c>
      <c r="R155" s="13">
        <v>-84.41</v>
      </c>
      <c r="S155" s="13">
        <v>-182.15</v>
      </c>
      <c r="T155" s="13">
        <v>-17144.7</v>
      </c>
      <c r="U155" s="13">
        <v>87200.87</v>
      </c>
      <c r="V155" s="13">
        <v>0</v>
      </c>
      <c r="W155" s="13">
        <v>1086.9000000000001</v>
      </c>
      <c r="X155" s="13">
        <v>-6532.15</v>
      </c>
      <c r="Y155" s="13">
        <v>-16951.79</v>
      </c>
      <c r="Z155" s="13">
        <v>-1825.16</v>
      </c>
      <c r="AA155" s="13">
        <v>-1189.25</v>
      </c>
      <c r="AB155" s="13">
        <v>-46773.440000000002</v>
      </c>
      <c r="AC155" s="13">
        <v>0</v>
      </c>
      <c r="AD155" s="13">
        <v>-50756.89</v>
      </c>
      <c r="AE155" s="13">
        <v>-9240.67</v>
      </c>
      <c r="AF155" s="13">
        <f>SUM(E155:AE155)</f>
        <v>310516.22000000003</v>
      </c>
      <c r="AG155" s="8">
        <v>152</v>
      </c>
    </row>
    <row r="156" spans="1:33" x14ac:dyDescent="0.2">
      <c r="C156" s="8">
        <v>901</v>
      </c>
      <c r="D156" s="8" t="s">
        <v>193</v>
      </c>
      <c r="E156" s="13">
        <v>0</v>
      </c>
      <c r="F156" s="13">
        <v>0</v>
      </c>
      <c r="G156" s="13"/>
      <c r="H156" s="13">
        <v>0</v>
      </c>
      <c r="I156" s="13">
        <v>0</v>
      </c>
      <c r="J156" s="13">
        <v>0</v>
      </c>
      <c r="K156" s="13">
        <v>0</v>
      </c>
      <c r="L156" s="13">
        <v>19754.099999999999</v>
      </c>
      <c r="M156" s="13">
        <v>0</v>
      </c>
      <c r="N156" s="13">
        <v>0</v>
      </c>
      <c r="O156" s="13">
        <v>0</v>
      </c>
      <c r="P156" s="13">
        <v>0</v>
      </c>
      <c r="Q156" s="13">
        <v>0</v>
      </c>
      <c r="R156" s="13">
        <v>0</v>
      </c>
      <c r="S156" s="13">
        <v>0</v>
      </c>
      <c r="T156" s="13">
        <v>0</v>
      </c>
      <c r="U156" s="13">
        <v>0</v>
      </c>
      <c r="V156" s="13">
        <v>0</v>
      </c>
      <c r="W156" s="13">
        <v>0</v>
      </c>
      <c r="X156" s="13">
        <v>0</v>
      </c>
      <c r="Y156" s="13">
        <v>149249.84</v>
      </c>
      <c r="Z156" s="13">
        <v>0</v>
      </c>
      <c r="AA156" s="13">
        <v>0</v>
      </c>
      <c r="AB156" s="13">
        <v>0</v>
      </c>
      <c r="AC156" s="13">
        <v>0</v>
      </c>
      <c r="AD156" s="13">
        <v>0</v>
      </c>
      <c r="AE156" s="13">
        <v>18852.95</v>
      </c>
      <c r="AF156" s="13">
        <f>SUM(E156:AE156)</f>
        <v>187856.89</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hidden="1" x14ac:dyDescent="0.25">
      <c r="D158" s="7" t="s">
        <v>194</v>
      </c>
      <c r="E158" s="84">
        <f>E155+E156</f>
        <v>0</v>
      </c>
      <c r="F158" s="84">
        <f t="shared" ref="F158:AF158" si="53">F155+F156</f>
        <v>0</v>
      </c>
      <c r="G158" s="84">
        <f t="shared" si="53"/>
        <v>29380.97</v>
      </c>
      <c r="H158" s="84">
        <f t="shared" si="53"/>
        <v>131360.03</v>
      </c>
      <c r="I158" s="84">
        <f t="shared" si="53"/>
        <v>0</v>
      </c>
      <c r="J158" s="84">
        <f t="shared" si="53"/>
        <v>0</v>
      </c>
      <c r="K158" s="84">
        <f t="shared" si="53"/>
        <v>0</v>
      </c>
      <c r="L158" s="84">
        <f t="shared" si="53"/>
        <v>19754.099999999999</v>
      </c>
      <c r="M158" s="84">
        <f t="shared" si="53"/>
        <v>0</v>
      </c>
      <c r="N158" s="84">
        <f t="shared" si="53"/>
        <v>0</v>
      </c>
      <c r="O158" s="84">
        <f t="shared" si="53"/>
        <v>212168.06</v>
      </c>
      <c r="P158" s="84">
        <f t="shared" si="53"/>
        <v>0</v>
      </c>
      <c r="Q158" s="84">
        <f t="shared" si="53"/>
        <v>0</v>
      </c>
      <c r="R158" s="84">
        <f t="shared" si="53"/>
        <v>-84.41</v>
      </c>
      <c r="S158" s="84">
        <f t="shared" si="53"/>
        <v>-182.15</v>
      </c>
      <c r="T158" s="84">
        <f t="shared" ref="T158" si="54">T155+T156</f>
        <v>-17144.7</v>
      </c>
      <c r="U158" s="84">
        <f t="shared" si="53"/>
        <v>87200.87</v>
      </c>
      <c r="V158" s="84">
        <f t="shared" si="53"/>
        <v>0</v>
      </c>
      <c r="W158" s="84">
        <f t="shared" si="53"/>
        <v>1086.9000000000001</v>
      </c>
      <c r="X158" s="84">
        <f t="shared" si="53"/>
        <v>-6532.15</v>
      </c>
      <c r="Y158" s="84">
        <f t="shared" si="53"/>
        <v>132298.04999999999</v>
      </c>
      <c r="Z158" s="84">
        <f t="shared" si="53"/>
        <v>-1825.16</v>
      </c>
      <c r="AA158" s="84">
        <f t="shared" si="53"/>
        <v>-1189.25</v>
      </c>
      <c r="AB158" s="84">
        <f t="shared" si="53"/>
        <v>-46773.440000000002</v>
      </c>
      <c r="AC158" s="84">
        <f t="shared" si="53"/>
        <v>0</v>
      </c>
      <c r="AD158" s="84">
        <f t="shared" si="53"/>
        <v>-50756.89</v>
      </c>
      <c r="AE158" s="84">
        <f t="shared" si="53"/>
        <v>9612.2800000000007</v>
      </c>
      <c r="AF158" s="84">
        <f t="shared" si="53"/>
        <v>498373.11000000004</v>
      </c>
      <c r="AG158" s="8">
        <v>155</v>
      </c>
    </row>
    <row r="159" spans="1:33" hidden="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hidden="1" x14ac:dyDescent="0.25">
      <c r="C160" s="7">
        <v>29900</v>
      </c>
      <c r="D160" s="7" t="s">
        <v>68</v>
      </c>
      <c r="E160" s="13"/>
      <c r="F160" s="13"/>
      <c r="G160" s="13"/>
      <c r="H160" s="13"/>
      <c r="I160" s="13"/>
      <c r="J160" s="13"/>
      <c r="K160" s="13"/>
      <c r="L160" s="69"/>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hidden="1"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hidden="1" x14ac:dyDescent="0.25">
      <c r="D162" s="83"/>
      <c r="E162" s="84">
        <f t="shared" ref="E162:AF162" si="55">E76-E5</f>
        <v>0</v>
      </c>
      <c r="F162" s="84">
        <f t="shared" si="55"/>
        <v>0</v>
      </c>
      <c r="G162" s="84">
        <f t="shared" si="55"/>
        <v>29380.969999999994</v>
      </c>
      <c r="H162" s="84">
        <f t="shared" si="55"/>
        <v>131360.03000000119</v>
      </c>
      <c r="I162" s="84">
        <f t="shared" si="55"/>
        <v>0</v>
      </c>
      <c r="J162" s="84">
        <f t="shared" si="55"/>
        <v>0</v>
      </c>
      <c r="K162" s="84">
        <f t="shared" si="55"/>
        <v>0</v>
      </c>
      <c r="L162" s="84">
        <f t="shared" si="55"/>
        <v>19754.100000000093</v>
      </c>
      <c r="M162" s="84">
        <f t="shared" si="55"/>
        <v>0</v>
      </c>
      <c r="N162" s="84">
        <f t="shared" si="55"/>
        <v>0</v>
      </c>
      <c r="O162" s="84">
        <f t="shared" si="55"/>
        <v>212168.06000000145</v>
      </c>
      <c r="P162" s="84">
        <f t="shared" si="55"/>
        <v>0</v>
      </c>
      <c r="Q162" s="84">
        <f t="shared" si="55"/>
        <v>0</v>
      </c>
      <c r="R162" s="84">
        <f t="shared" si="55"/>
        <v>-84.409999999996217</v>
      </c>
      <c r="S162" s="84">
        <f t="shared" si="55"/>
        <v>-182.14999999999986</v>
      </c>
      <c r="T162" s="84">
        <f t="shared" si="55"/>
        <v>-17144.70000000007</v>
      </c>
      <c r="U162" s="84">
        <f t="shared" si="55"/>
        <v>87200.87000000001</v>
      </c>
      <c r="V162" s="84">
        <f t="shared" si="55"/>
        <v>0</v>
      </c>
      <c r="W162" s="84">
        <f t="shared" si="55"/>
        <v>1086.9000000000015</v>
      </c>
      <c r="X162" s="84">
        <f t="shared" si="55"/>
        <v>-6532.1499999997905</v>
      </c>
      <c r="Y162" s="84">
        <f t="shared" si="55"/>
        <v>132298.04999999981</v>
      </c>
      <c r="Z162" s="84">
        <f t="shared" si="55"/>
        <v>-1825.1600000000326</v>
      </c>
      <c r="AA162" s="84">
        <f t="shared" si="55"/>
        <v>-1189.2500000004657</v>
      </c>
      <c r="AB162" s="84">
        <f t="shared" si="55"/>
        <v>-46773.439999999973</v>
      </c>
      <c r="AC162" s="84">
        <f t="shared" si="55"/>
        <v>0</v>
      </c>
      <c r="AD162" s="84">
        <f t="shared" si="55"/>
        <v>-50756.889999999665</v>
      </c>
      <c r="AE162" s="84">
        <f t="shared" si="55"/>
        <v>9612.2799999999697</v>
      </c>
      <c r="AF162" s="84">
        <f t="shared" si="55"/>
        <v>498373.1099999994</v>
      </c>
      <c r="AG162" s="8">
        <v>159</v>
      </c>
    </row>
    <row r="163" spans="4:33" ht="15" hidden="1" x14ac:dyDescent="0.25">
      <c r="D163" s="83" t="s">
        <v>67</v>
      </c>
      <c r="E163" s="24">
        <f t="shared" ref="E163:N163" si="56">E158-E162</f>
        <v>0</v>
      </c>
      <c r="F163" s="24">
        <f t="shared" si="56"/>
        <v>0</v>
      </c>
      <c r="G163" s="24">
        <f t="shared" si="56"/>
        <v>0</v>
      </c>
      <c r="H163" s="24">
        <f t="shared" si="56"/>
        <v>-1.1932570487260818E-9</v>
      </c>
      <c r="I163" s="24">
        <f t="shared" si="56"/>
        <v>0</v>
      </c>
      <c r="J163" s="24">
        <f t="shared" si="56"/>
        <v>0</v>
      </c>
      <c r="K163" s="24">
        <f t="shared" si="56"/>
        <v>0</v>
      </c>
      <c r="L163" s="24">
        <f t="shared" si="56"/>
        <v>-9.4587448984384537E-11</v>
      </c>
      <c r="M163" s="24">
        <f t="shared" si="56"/>
        <v>0</v>
      </c>
      <c r="N163" s="24">
        <f t="shared" si="56"/>
        <v>0</v>
      </c>
      <c r="O163" s="24">
        <f>O158-O162</f>
        <v>-1.4551915228366852E-9</v>
      </c>
      <c r="P163" s="24">
        <f t="shared" ref="P163:AF163" si="57">P158-P162</f>
        <v>0</v>
      </c>
      <c r="Q163" s="24">
        <f t="shared" si="57"/>
        <v>0</v>
      </c>
      <c r="R163" s="24">
        <f t="shared" si="57"/>
        <v>-3.780087354243733E-12</v>
      </c>
      <c r="S163" s="24">
        <f t="shared" si="57"/>
        <v>0</v>
      </c>
      <c r="T163" s="24">
        <f t="shared" si="57"/>
        <v>6.9121597334742546E-11</v>
      </c>
      <c r="U163" s="24">
        <f t="shared" si="57"/>
        <v>0</v>
      </c>
      <c r="V163" s="24">
        <f t="shared" si="57"/>
        <v>0</v>
      </c>
      <c r="W163" s="24">
        <f t="shared" si="57"/>
        <v>0</v>
      </c>
      <c r="X163" s="24">
        <f>X158-X162</f>
        <v>-2.0918378140777349E-10</v>
      </c>
      <c r="Y163" s="24">
        <f>Y158-Y162</f>
        <v>0</v>
      </c>
      <c r="Z163" s="24">
        <f t="shared" si="57"/>
        <v>3.2514435588382185E-11</v>
      </c>
      <c r="AA163" s="24">
        <f t="shared" si="57"/>
        <v>4.6566128730773926E-10</v>
      </c>
      <c r="AB163" s="24">
        <f t="shared" si="57"/>
        <v>0</v>
      </c>
      <c r="AC163" s="24">
        <f t="shared" si="57"/>
        <v>0</v>
      </c>
      <c r="AD163" s="24">
        <f t="shared" si="57"/>
        <v>-3.3469405025243759E-10</v>
      </c>
      <c r="AE163" s="24">
        <f t="shared" si="57"/>
        <v>3.092281986027956E-11</v>
      </c>
      <c r="AF163" s="24">
        <f t="shared" si="57"/>
        <v>6.4028427004814148E-10</v>
      </c>
      <c r="AG163" s="8">
        <v>160</v>
      </c>
    </row>
    <row r="164" spans="4:33" hidden="1" x14ac:dyDescent="0.2">
      <c r="M164" s="13"/>
      <c r="AG164" s="8">
        <v>161</v>
      </c>
    </row>
    <row r="165" spans="4:33" ht="15" hidden="1" x14ac:dyDescent="0.25">
      <c r="D165" s="83" t="s">
        <v>233</v>
      </c>
      <c r="E165" s="20">
        <f>E65-E141</f>
        <v>0</v>
      </c>
      <c r="F165" s="20">
        <f t="shared" ref="F165:AF165" si="58">F65-F141</f>
        <v>0</v>
      </c>
      <c r="G165" s="20">
        <f t="shared" si="58"/>
        <v>0</v>
      </c>
      <c r="H165" s="20">
        <f t="shared" si="58"/>
        <v>0</v>
      </c>
      <c r="I165" s="87">
        <f t="shared" si="58"/>
        <v>0</v>
      </c>
      <c r="J165" s="20">
        <f t="shared" si="58"/>
        <v>0</v>
      </c>
      <c r="K165" s="87">
        <f t="shared" si="58"/>
        <v>0</v>
      </c>
      <c r="L165" s="20">
        <f t="shared" si="58"/>
        <v>0</v>
      </c>
      <c r="M165" s="20">
        <f t="shared" si="58"/>
        <v>0</v>
      </c>
      <c r="N165" s="20">
        <f t="shared" si="58"/>
        <v>0</v>
      </c>
      <c r="O165" s="20">
        <f t="shared" si="58"/>
        <v>0</v>
      </c>
      <c r="P165" s="87">
        <f t="shared" si="58"/>
        <v>0</v>
      </c>
      <c r="Q165" s="20">
        <f t="shared" si="58"/>
        <v>0</v>
      </c>
      <c r="R165" s="20">
        <f t="shared" si="58"/>
        <v>0</v>
      </c>
      <c r="S165" s="20">
        <f t="shared" si="58"/>
        <v>0</v>
      </c>
      <c r="T165" s="20">
        <f t="shared" si="58"/>
        <v>16503.900000000001</v>
      </c>
      <c r="U165" s="20">
        <f t="shared" si="58"/>
        <v>0</v>
      </c>
      <c r="V165" s="20">
        <f t="shared" si="58"/>
        <v>0</v>
      </c>
      <c r="W165" s="20">
        <f t="shared" si="58"/>
        <v>0</v>
      </c>
      <c r="X165" s="20">
        <f t="shared" si="58"/>
        <v>0</v>
      </c>
      <c r="Y165" s="20">
        <f t="shared" si="58"/>
        <v>0</v>
      </c>
      <c r="Z165" s="20">
        <f t="shared" si="58"/>
        <v>0</v>
      </c>
      <c r="AA165" s="20">
        <f t="shared" si="58"/>
        <v>0</v>
      </c>
      <c r="AB165" s="20">
        <f t="shared" si="58"/>
        <v>0</v>
      </c>
      <c r="AC165" s="20">
        <f t="shared" si="58"/>
        <v>0</v>
      </c>
      <c r="AD165" s="20">
        <f t="shared" si="58"/>
        <v>0</v>
      </c>
      <c r="AE165" s="20">
        <f t="shared" si="58"/>
        <v>0</v>
      </c>
      <c r="AF165" s="20">
        <f t="shared" si="58"/>
        <v>16503.899999999994</v>
      </c>
      <c r="AG165" s="8">
        <v>162</v>
      </c>
    </row>
    <row r="166" spans="4:33" hidden="1" x14ac:dyDescent="0.2">
      <c r="AG166" s="8">
        <v>163</v>
      </c>
    </row>
    <row r="167" spans="4:33" hidden="1" x14ac:dyDescent="0.2">
      <c r="D167" s="8" t="s">
        <v>579</v>
      </c>
      <c r="E167" s="13">
        <f>E6+E16+E28+E40+E44+E54</f>
        <v>751325.92</v>
      </c>
      <c r="F167" s="13">
        <f t="shared" ref="F167:AF167" si="59">F6+F16+F28+F40+F44+F54</f>
        <v>7754373.2299999995</v>
      </c>
      <c r="G167" s="13">
        <f t="shared" si="59"/>
        <v>27287.15</v>
      </c>
      <c r="H167" s="13">
        <f t="shared" si="59"/>
        <v>6425360.7599999998</v>
      </c>
      <c r="I167" s="13">
        <f t="shared" si="59"/>
        <v>173192.2</v>
      </c>
      <c r="J167" s="13">
        <f t="shared" si="59"/>
        <v>1044413.54</v>
      </c>
      <c r="K167" s="13">
        <f t="shared" si="59"/>
        <v>2267815.3199999998</v>
      </c>
      <c r="L167" s="13">
        <f t="shared" si="59"/>
        <v>543225.40999999992</v>
      </c>
      <c r="M167" s="13">
        <f t="shared" si="59"/>
        <v>328048.57</v>
      </c>
      <c r="N167" s="13">
        <f t="shared" si="59"/>
        <v>295716.56</v>
      </c>
      <c r="O167" s="13">
        <f t="shared" si="59"/>
        <v>5349775.5299999993</v>
      </c>
      <c r="P167" s="13">
        <f t="shared" si="59"/>
        <v>32239.999999999996</v>
      </c>
      <c r="Q167" s="13">
        <f t="shared" si="59"/>
        <v>7604.66</v>
      </c>
      <c r="R167" s="13">
        <f t="shared" si="59"/>
        <v>48317.409999999996</v>
      </c>
      <c r="S167" s="13">
        <f t="shared" si="59"/>
        <v>2120.5</v>
      </c>
      <c r="T167" s="13">
        <f t="shared" si="59"/>
        <v>640057.70000000007</v>
      </c>
      <c r="U167" s="13">
        <f t="shared" si="59"/>
        <v>63259.490000000005</v>
      </c>
      <c r="V167" s="13">
        <f t="shared" si="59"/>
        <v>491642.73</v>
      </c>
      <c r="W167" s="13">
        <f t="shared" si="59"/>
        <v>46972.200000000004</v>
      </c>
      <c r="X167" s="13">
        <f t="shared" si="59"/>
        <v>843263.45</v>
      </c>
      <c r="Y167" s="13">
        <f t="shared" si="59"/>
        <v>5670990.1399999997</v>
      </c>
      <c r="Z167" s="13">
        <f t="shared" si="59"/>
        <v>352753.29000000004</v>
      </c>
      <c r="AA167" s="13">
        <f t="shared" si="59"/>
        <v>2079272.3</v>
      </c>
      <c r="AB167" s="13">
        <f t="shared" si="59"/>
        <v>237415.83999999997</v>
      </c>
      <c r="AC167" s="13">
        <f t="shared" si="59"/>
        <v>175848.63</v>
      </c>
      <c r="AD167" s="13">
        <f t="shared" si="59"/>
        <v>3323771.92</v>
      </c>
      <c r="AE167" s="13">
        <f t="shared" si="59"/>
        <v>215214.45</v>
      </c>
      <c r="AF167" s="13">
        <f t="shared" si="59"/>
        <v>39191278.900000006</v>
      </c>
      <c r="AG167" s="8">
        <v>164</v>
      </c>
    </row>
    <row r="168" spans="4:33" hidden="1" x14ac:dyDescent="0.2">
      <c r="D168" s="8" t="s">
        <v>580</v>
      </c>
      <c r="E168" s="13">
        <f>E77+E83+E89+E100+E118+E122+E129</f>
        <v>773068.27</v>
      </c>
      <c r="F168" s="13">
        <f t="shared" ref="F168:AF168" si="60">F77+F83+F89+F100+F118+F122+F129</f>
        <v>5729191.79</v>
      </c>
      <c r="G168" s="13">
        <f t="shared" si="60"/>
        <v>56366</v>
      </c>
      <c r="H168" s="13">
        <f t="shared" si="60"/>
        <v>9029145.5200000014</v>
      </c>
      <c r="I168" s="13">
        <f t="shared" si="60"/>
        <v>173196.15</v>
      </c>
      <c r="J168" s="13">
        <f t="shared" si="60"/>
        <v>1045969.3500000001</v>
      </c>
      <c r="K168" s="13">
        <f t="shared" si="60"/>
        <v>2412450.62</v>
      </c>
      <c r="L168" s="13">
        <f t="shared" si="60"/>
        <v>636444.73</v>
      </c>
      <c r="M168" s="13">
        <f t="shared" si="60"/>
        <v>328232.47000000003</v>
      </c>
      <c r="N168" s="13">
        <f t="shared" si="60"/>
        <v>295716.56</v>
      </c>
      <c r="O168" s="13">
        <f t="shared" si="60"/>
        <v>5496576.8500000006</v>
      </c>
      <c r="P168" s="13">
        <f t="shared" si="60"/>
        <v>32240</v>
      </c>
      <c r="Q168" s="13">
        <f t="shared" si="60"/>
        <v>7715.36</v>
      </c>
      <c r="R168" s="13">
        <f t="shared" si="60"/>
        <v>48233</v>
      </c>
      <c r="S168" s="13">
        <f t="shared" si="60"/>
        <v>1930</v>
      </c>
      <c r="T168" s="13">
        <f t="shared" si="60"/>
        <v>639965.75</v>
      </c>
      <c r="U168" s="13">
        <f t="shared" si="60"/>
        <v>68060.59</v>
      </c>
      <c r="V168" s="13">
        <f t="shared" si="60"/>
        <v>507661.22000000003</v>
      </c>
      <c r="W168" s="13">
        <f t="shared" si="60"/>
        <v>48088.800000000003</v>
      </c>
      <c r="X168" s="13">
        <f t="shared" si="60"/>
        <v>844247.08000000007</v>
      </c>
      <c r="Y168" s="13">
        <f t="shared" si="60"/>
        <v>4950951.9499999993</v>
      </c>
      <c r="Z168" s="13">
        <f t="shared" si="60"/>
        <v>374847.55</v>
      </c>
      <c r="AA168" s="13">
        <f t="shared" si="60"/>
        <v>2110268.48</v>
      </c>
      <c r="AB168" s="13">
        <f t="shared" si="60"/>
        <v>190642.4</v>
      </c>
      <c r="AC168" s="13">
        <f t="shared" si="60"/>
        <v>175844.73</v>
      </c>
      <c r="AD168" s="13">
        <f t="shared" si="60"/>
        <v>3320584.1100000003</v>
      </c>
      <c r="AE168" s="13">
        <f t="shared" si="60"/>
        <v>224118.39999999999</v>
      </c>
      <c r="AF168" s="13">
        <f t="shared" si="60"/>
        <v>39521757.730000004</v>
      </c>
      <c r="AG168" s="8">
        <v>165</v>
      </c>
    </row>
    <row r="169" spans="4:33" hidden="1" x14ac:dyDescent="0.2"/>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H39" sqref="H39"/>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2" t="s">
        <v>851</v>
      </c>
      <c r="B2" s="7"/>
      <c r="C2" s="7"/>
      <c r="D2" s="7"/>
    </row>
    <row r="4" spans="1:5" ht="15" thickBot="1" x14ac:dyDescent="0.25"/>
    <row r="5" spans="1:5" ht="15.75" thickBot="1" x14ac:dyDescent="0.3">
      <c r="A5" s="8" t="s">
        <v>726</v>
      </c>
      <c r="D5" s="92" t="s">
        <v>795</v>
      </c>
    </row>
    <row r="7" spans="1:5" ht="15" x14ac:dyDescent="0.25">
      <c r="E7" s="30" t="s">
        <v>198</v>
      </c>
    </row>
    <row r="8" spans="1:5" ht="20.25" x14ac:dyDescent="0.3">
      <c r="A8" s="11">
        <v>3</v>
      </c>
      <c r="B8" s="11"/>
      <c r="C8" s="11"/>
      <c r="D8" s="11" t="s">
        <v>59</v>
      </c>
      <c r="E8" s="93">
        <f>HLOOKUP($D$5,'Syndicats comptes 2023'!$E$4:$AF$168,2,0)</f>
        <v>47001.9</v>
      </c>
    </row>
    <row r="9" spans="1:5" ht="15" x14ac:dyDescent="0.25">
      <c r="A9" s="75"/>
      <c r="B9" s="75">
        <v>30</v>
      </c>
      <c r="C9" s="75"/>
      <c r="D9" s="75" t="s">
        <v>60</v>
      </c>
      <c r="E9" s="76">
        <f>HLOOKUP($D$5,'Syndicats comptes 2023'!$E$4:$AF$168,3,0)</f>
        <v>46796.800000000003</v>
      </c>
    </row>
    <row r="10" spans="1:5" x14ac:dyDescent="0.2">
      <c r="C10" s="8">
        <v>300</v>
      </c>
      <c r="D10" s="8" t="s">
        <v>77</v>
      </c>
      <c r="E10" s="13">
        <f>HLOOKUP($D$5,'Syndicats comptes 2023'!$E$4:$AF$168,4,0)</f>
        <v>5275</v>
      </c>
    </row>
    <row r="11" spans="1:5" x14ac:dyDescent="0.2">
      <c r="C11" s="8">
        <v>301</v>
      </c>
      <c r="D11" s="8" t="s">
        <v>78</v>
      </c>
      <c r="E11" s="13">
        <f>HLOOKUP($D$5,'Syndicats comptes 2023'!$E$4:$AF$168,5,0)</f>
        <v>32717.49</v>
      </c>
    </row>
    <row r="12" spans="1:5" x14ac:dyDescent="0.2">
      <c r="C12" s="8">
        <v>302</v>
      </c>
      <c r="D12" s="8" t="s">
        <v>79</v>
      </c>
      <c r="E12" s="13">
        <f>HLOOKUP($D$5,'Syndicats comptes 2023'!$E$4:$AF$168,6,0)</f>
        <v>0</v>
      </c>
    </row>
    <row r="13" spans="1:5" x14ac:dyDescent="0.2">
      <c r="C13" s="8">
        <v>303</v>
      </c>
      <c r="D13" s="8" t="s">
        <v>80</v>
      </c>
      <c r="E13" s="13">
        <f>HLOOKUP($D$5,'Syndicats comptes 2023'!$E$4:$AF$168,7,0)</f>
        <v>0</v>
      </c>
    </row>
    <row r="14" spans="1:5" x14ac:dyDescent="0.2">
      <c r="C14" s="8">
        <v>304</v>
      </c>
      <c r="D14" s="8" t="s">
        <v>572</v>
      </c>
      <c r="E14" s="13">
        <f>HLOOKUP($D$5,'Syndicats comptes 2023'!$E$4:$AF$168,8,0)</f>
        <v>0</v>
      </c>
    </row>
    <row r="15" spans="1:5" x14ac:dyDescent="0.2">
      <c r="C15" s="8">
        <v>305</v>
      </c>
      <c r="D15" s="8" t="s">
        <v>81</v>
      </c>
      <c r="E15" s="13">
        <f>HLOOKUP($D$5,'Syndicats comptes 2023'!$E$4:$AF$168,9,0)</f>
        <v>6101.21</v>
      </c>
    </row>
    <row r="16" spans="1:5" x14ac:dyDescent="0.2">
      <c r="C16" s="8">
        <v>306</v>
      </c>
      <c r="D16" s="8" t="s">
        <v>82</v>
      </c>
      <c r="E16" s="13">
        <f>HLOOKUP($D$5,'Syndicats comptes 2023'!$E$4:$AF$168,10,0)</f>
        <v>0</v>
      </c>
    </row>
    <row r="17" spans="2:5" x14ac:dyDescent="0.2">
      <c r="C17" s="8">
        <v>309</v>
      </c>
      <c r="D17" s="8" t="s">
        <v>83</v>
      </c>
      <c r="E17" s="13">
        <f>HLOOKUP($D$5,'Syndicats comptes 2023'!$E$4:$AF$168,11,0)</f>
        <v>2703.1</v>
      </c>
    </row>
    <row r="18" spans="2:5" x14ac:dyDescent="0.2">
      <c r="E18" s="13"/>
    </row>
    <row r="19" spans="2:5" ht="15" x14ac:dyDescent="0.25">
      <c r="B19" s="75">
        <v>31</v>
      </c>
      <c r="C19" s="75"/>
      <c r="D19" s="75" t="s">
        <v>84</v>
      </c>
      <c r="E19" s="76">
        <f>HLOOKUP($D$5,'Syndicats comptes 2023'!$E$4:$AF$168,13,0)</f>
        <v>175.4</v>
      </c>
    </row>
    <row r="20" spans="2:5" x14ac:dyDescent="0.2">
      <c r="C20" s="8">
        <v>310</v>
      </c>
      <c r="D20" s="8" t="s">
        <v>85</v>
      </c>
      <c r="E20" s="13">
        <f>HLOOKUP($D$5,'Syndicats comptes 2023'!$E$4:$AF$168,14,0)</f>
        <v>75.400000000000006</v>
      </c>
    </row>
    <row r="21" spans="2:5" x14ac:dyDescent="0.2">
      <c r="C21" s="8">
        <v>311</v>
      </c>
      <c r="D21" s="8" t="s">
        <v>446</v>
      </c>
      <c r="E21" s="13">
        <f>HLOOKUP($D$5,'Syndicats comptes 2023'!$E$4:$AF$168,15,0)</f>
        <v>0</v>
      </c>
    </row>
    <row r="22" spans="2:5" x14ac:dyDescent="0.2">
      <c r="C22" s="8">
        <v>312</v>
      </c>
      <c r="D22" s="8" t="s">
        <v>87</v>
      </c>
      <c r="E22" s="13">
        <f>HLOOKUP($D$5,'Syndicats comptes 2023'!$E$4:$AF$168,16,0)</f>
        <v>0</v>
      </c>
    </row>
    <row r="23" spans="2:5" x14ac:dyDescent="0.2">
      <c r="C23" s="8">
        <v>313</v>
      </c>
      <c r="D23" s="8" t="s">
        <v>88</v>
      </c>
      <c r="E23" s="13">
        <f>HLOOKUP($D$5,'Syndicats comptes 2023'!$E$4:$AF$168,17,0)</f>
        <v>100</v>
      </c>
    </row>
    <row r="24" spans="2:5" x14ac:dyDescent="0.2">
      <c r="C24" s="8">
        <v>314</v>
      </c>
      <c r="D24" s="8" t="s">
        <v>814</v>
      </c>
      <c r="E24" s="13">
        <f>HLOOKUP($D$5,'Syndicats comptes 2023'!$E$4:$AF$168,18,0)</f>
        <v>0</v>
      </c>
    </row>
    <row r="25" spans="2:5" x14ac:dyDescent="0.2">
      <c r="C25" s="8">
        <v>315</v>
      </c>
      <c r="D25" s="8" t="s">
        <v>89</v>
      </c>
      <c r="E25" s="13">
        <f>HLOOKUP($D$5,'Syndicats comptes 2023'!$E$4:$AF$168,19,0)</f>
        <v>0</v>
      </c>
    </row>
    <row r="26" spans="2:5" x14ac:dyDescent="0.2">
      <c r="C26" s="8">
        <v>316</v>
      </c>
      <c r="D26" s="8" t="s">
        <v>90</v>
      </c>
      <c r="E26" s="13">
        <f>HLOOKUP($D$5,'Syndicats comptes 2023'!$E$4:$AF$168,20,0)</f>
        <v>0</v>
      </c>
    </row>
    <row r="27" spans="2:5" x14ac:dyDescent="0.2">
      <c r="C27" s="8">
        <v>317</v>
      </c>
      <c r="D27" s="8" t="s">
        <v>91</v>
      </c>
      <c r="E27" s="13">
        <f>HLOOKUP($D$5,'Syndicats comptes 2023'!$E$4:$AF$168,21,0)</f>
        <v>0</v>
      </c>
    </row>
    <row r="28" spans="2:5" x14ac:dyDescent="0.2">
      <c r="C28" s="8">
        <v>318</v>
      </c>
      <c r="D28" s="8" t="s">
        <v>92</v>
      </c>
      <c r="E28" s="13">
        <f>HLOOKUP($D$5,'Syndicats comptes 2023'!$E$4:$AF$168,22,0)</f>
        <v>0</v>
      </c>
    </row>
    <row r="29" spans="2:5" x14ac:dyDescent="0.2">
      <c r="C29" s="8">
        <v>319</v>
      </c>
      <c r="D29" s="8" t="s">
        <v>93</v>
      </c>
      <c r="E29" s="13">
        <f>HLOOKUP($D$5,'Syndicats comptes 2023'!$E$4:$AF$168,23,0)</f>
        <v>0</v>
      </c>
    </row>
    <row r="30" spans="2:5" x14ac:dyDescent="0.2">
      <c r="E30" s="13"/>
    </row>
    <row r="31" spans="2:5" ht="15" x14ac:dyDescent="0.25">
      <c r="B31" s="75">
        <v>33</v>
      </c>
      <c r="C31" s="75"/>
      <c r="D31" s="75" t="s">
        <v>94</v>
      </c>
      <c r="E31" s="76">
        <f>HLOOKUP($D$5,'Syndicats comptes 2023'!$E$4:$AF$168,25,0)</f>
        <v>0</v>
      </c>
    </row>
    <row r="32" spans="2:5" x14ac:dyDescent="0.2">
      <c r="C32" s="8">
        <v>330</v>
      </c>
      <c r="D32" s="8" t="s">
        <v>96</v>
      </c>
      <c r="E32" s="13">
        <f>HLOOKUP($D$5,'Syndicats comptes 2023'!$E$4:$AF$168,26,0)</f>
        <v>0</v>
      </c>
    </row>
    <row r="33" spans="2:5" x14ac:dyDescent="0.2">
      <c r="C33" s="8">
        <v>332</v>
      </c>
      <c r="D33" s="8" t="s">
        <v>95</v>
      </c>
      <c r="E33" s="13">
        <f>HLOOKUP($D$5,'Syndicats comptes 2023'!$E$4:$AF$168,27,0)</f>
        <v>0</v>
      </c>
    </row>
    <row r="34" spans="2:5" x14ac:dyDescent="0.2">
      <c r="E34" s="13"/>
    </row>
    <row r="35" spans="2:5" ht="15" x14ac:dyDescent="0.25">
      <c r="B35" s="75">
        <v>34</v>
      </c>
      <c r="C35" s="75"/>
      <c r="D35" s="75" t="s">
        <v>97</v>
      </c>
      <c r="E35" s="76">
        <f>HLOOKUP($D$5,'Syndicats comptes 2023'!$E$4:$AF$168,29,0)</f>
        <v>29.7</v>
      </c>
    </row>
    <row r="36" spans="2:5" x14ac:dyDescent="0.2">
      <c r="C36" s="8">
        <v>340</v>
      </c>
      <c r="D36" s="8" t="s">
        <v>98</v>
      </c>
      <c r="E36" s="13">
        <f>HLOOKUP($D$5,'Syndicats comptes 2023'!$E$4:$AF$168,30,0)</f>
        <v>29.7</v>
      </c>
    </row>
    <row r="37" spans="2:5" x14ac:dyDescent="0.2">
      <c r="C37" s="8">
        <v>341</v>
      </c>
      <c r="D37" s="8" t="s">
        <v>99</v>
      </c>
      <c r="E37" s="13">
        <f>HLOOKUP($D$5,'Syndicats comptes 2023'!$E$4:$AF$168,31,0)</f>
        <v>0</v>
      </c>
    </row>
    <row r="38" spans="2:5" x14ac:dyDescent="0.2">
      <c r="C38" s="8">
        <v>342</v>
      </c>
      <c r="D38" s="8" t="s">
        <v>100</v>
      </c>
      <c r="E38" s="13">
        <f>HLOOKUP($D$5,'Syndicats comptes 2023'!$E$4:$AF$168,32,0)</f>
        <v>0</v>
      </c>
    </row>
    <row r="39" spans="2:5" x14ac:dyDescent="0.2">
      <c r="C39" s="8">
        <v>343</v>
      </c>
      <c r="D39" s="8" t="s">
        <v>101</v>
      </c>
      <c r="E39" s="13">
        <f>HLOOKUP($D$5,'Syndicats comptes 2023'!$E$4:$AF$168,33,0)</f>
        <v>0</v>
      </c>
    </row>
    <row r="40" spans="2:5" x14ac:dyDescent="0.2">
      <c r="C40" s="8">
        <v>344</v>
      </c>
      <c r="D40" s="8" t="s">
        <v>102</v>
      </c>
      <c r="E40" s="13">
        <f>HLOOKUP($D$5,'Syndicats comptes 2023'!$E$4:$AF$168,34,0)</f>
        <v>0</v>
      </c>
    </row>
    <row r="41" spans="2:5" x14ac:dyDescent="0.2">
      <c r="C41" s="8">
        <v>349</v>
      </c>
      <c r="D41" s="8" t="s">
        <v>103</v>
      </c>
      <c r="E41" s="13">
        <f>HLOOKUP($D$5,'Syndicats comptes 2023'!$E$4:$AF$168,35,0)</f>
        <v>0</v>
      </c>
    </row>
    <row r="42" spans="2:5" x14ac:dyDescent="0.2">
      <c r="E42" s="13"/>
    </row>
    <row r="43" spans="2:5" ht="15" x14ac:dyDescent="0.25">
      <c r="B43" s="75">
        <v>35</v>
      </c>
      <c r="C43" s="75"/>
      <c r="D43" s="75" t="s">
        <v>105</v>
      </c>
      <c r="E43" s="76">
        <f>HLOOKUP($D$5,'Syndicats comptes 2023'!$E$4:$AF$168,37,0)</f>
        <v>0</v>
      </c>
    </row>
    <row r="44" spans="2:5" x14ac:dyDescent="0.2">
      <c r="C44" s="8">
        <v>350</v>
      </c>
      <c r="D44" s="8" t="s">
        <v>105</v>
      </c>
      <c r="E44" s="13">
        <f>HLOOKUP($D$5,'Syndicats comptes 2023'!$E$4:$AF$168,38,0)</f>
        <v>0</v>
      </c>
    </row>
    <row r="45" spans="2:5" x14ac:dyDescent="0.2">
      <c r="C45" s="8">
        <v>351</v>
      </c>
      <c r="D45" s="8" t="s">
        <v>104</v>
      </c>
      <c r="E45" s="13">
        <f>HLOOKUP($D$5,'Syndicats comptes 2023'!$E$4:$AF$168,39,0)</f>
        <v>0</v>
      </c>
    </row>
    <row r="46" spans="2:5" x14ac:dyDescent="0.2">
      <c r="E46" s="13"/>
    </row>
    <row r="47" spans="2:5" ht="15" x14ac:dyDescent="0.25">
      <c r="B47" s="75">
        <v>36</v>
      </c>
      <c r="C47" s="75"/>
      <c r="D47" s="75" t="s">
        <v>106</v>
      </c>
      <c r="E47" s="76">
        <f>HLOOKUP($D$5,'Syndicats comptes 2023'!$E$4:$AF$168,41,0)</f>
        <v>0</v>
      </c>
    </row>
    <row r="48" spans="2:5" x14ac:dyDescent="0.2">
      <c r="C48" s="8">
        <v>360</v>
      </c>
      <c r="D48" s="8" t="s">
        <v>107</v>
      </c>
      <c r="E48" s="13">
        <f>HLOOKUP($D$5,'Syndicats comptes 2023'!$E$4:$AF$168,42,0)</f>
        <v>0</v>
      </c>
    </row>
    <row r="49" spans="2:5" x14ac:dyDescent="0.2">
      <c r="C49" s="8">
        <v>361</v>
      </c>
      <c r="D49" s="8" t="s">
        <v>108</v>
      </c>
      <c r="E49" s="13">
        <f>HLOOKUP($D$5,'Syndicats comptes 2023'!$E$4:$AF$168,43,0)</f>
        <v>0</v>
      </c>
    </row>
    <row r="50" spans="2:5" x14ac:dyDescent="0.2">
      <c r="C50" s="8">
        <v>362</v>
      </c>
      <c r="D50" s="8" t="s">
        <v>109</v>
      </c>
      <c r="E50" s="13">
        <f>HLOOKUP($D$5,'Syndicats comptes 2023'!$E$4:$AF$168,44,0)</f>
        <v>0</v>
      </c>
    </row>
    <row r="51" spans="2:5" x14ac:dyDescent="0.2">
      <c r="C51" s="8">
        <v>363</v>
      </c>
      <c r="D51" s="8" t="s">
        <v>110</v>
      </c>
      <c r="E51" s="13">
        <f>HLOOKUP($D$5,'Syndicats comptes 2023'!$E$4:$AF$168,45,0)</f>
        <v>0</v>
      </c>
    </row>
    <row r="52" spans="2:5" x14ac:dyDescent="0.2">
      <c r="C52" s="8">
        <v>364</v>
      </c>
      <c r="D52" s="8" t="s">
        <v>111</v>
      </c>
      <c r="E52" s="13">
        <f>HLOOKUP($D$5,'Syndicats comptes 2023'!$E$4:$AF$168,46,0)</f>
        <v>0</v>
      </c>
    </row>
    <row r="53" spans="2:5" x14ac:dyDescent="0.2">
      <c r="C53" s="8">
        <v>365</v>
      </c>
      <c r="D53" s="8" t="s">
        <v>112</v>
      </c>
      <c r="E53" s="13">
        <f>HLOOKUP($D$5,'Syndicats comptes 2023'!$E$4:$AF$168,47,0)</f>
        <v>0</v>
      </c>
    </row>
    <row r="54" spans="2:5" x14ac:dyDescent="0.2">
      <c r="C54" s="8">
        <v>366</v>
      </c>
      <c r="D54" s="8" t="s">
        <v>113</v>
      </c>
      <c r="E54" s="13">
        <f>HLOOKUP($D$5,'Syndicats comptes 2023'!$E$4:$AF$168,48,0)</f>
        <v>0</v>
      </c>
    </row>
    <row r="55" spans="2:5" x14ac:dyDescent="0.2">
      <c r="C55" s="8">
        <v>369</v>
      </c>
      <c r="D55" s="8" t="s">
        <v>114</v>
      </c>
      <c r="E55" s="13">
        <f>HLOOKUP($D$5,'Syndicats comptes 2023'!$E$4:$AF$168,49,0)</f>
        <v>0</v>
      </c>
    </row>
    <row r="56" spans="2:5" x14ac:dyDescent="0.2">
      <c r="E56" s="13"/>
    </row>
    <row r="57" spans="2:5" ht="15" x14ac:dyDescent="0.25">
      <c r="B57" s="75">
        <v>37</v>
      </c>
      <c r="C57" s="75"/>
      <c r="D57" s="75" t="s">
        <v>115</v>
      </c>
      <c r="E57" s="76">
        <f>HLOOKUP($D$5,'Syndicats comptes 2023'!$E$4:$AF$168,51,0)</f>
        <v>0</v>
      </c>
    </row>
    <row r="58" spans="2:5" x14ac:dyDescent="0.2">
      <c r="C58" s="8">
        <v>370</v>
      </c>
      <c r="D58" s="8" t="s">
        <v>116</v>
      </c>
      <c r="E58" s="13">
        <f>HLOOKUP($D$5,'Syndicats comptes 2023'!$E$4:$AF$168,52,0)</f>
        <v>0</v>
      </c>
    </row>
    <row r="59" spans="2:5" x14ac:dyDescent="0.2">
      <c r="E59" s="13"/>
    </row>
    <row r="60" spans="2:5" ht="15" x14ac:dyDescent="0.25">
      <c r="B60" s="75">
        <v>38</v>
      </c>
      <c r="C60" s="75"/>
      <c r="D60" s="75" t="s">
        <v>117</v>
      </c>
      <c r="E60" s="76">
        <f>HLOOKUP($D$5,'Syndicats comptes 2023'!$E$4:$AF$168,54,0)</f>
        <v>0</v>
      </c>
    </row>
    <row r="61" spans="2:5" x14ac:dyDescent="0.2">
      <c r="C61" s="8">
        <v>380</v>
      </c>
      <c r="D61" s="8" t="s">
        <v>118</v>
      </c>
      <c r="E61" s="13">
        <f>HLOOKUP($D$5,'Syndicats comptes 2023'!$E$4:$AF$168,55,0)</f>
        <v>0</v>
      </c>
    </row>
    <row r="62" spans="2:5" x14ac:dyDescent="0.2">
      <c r="C62" s="8">
        <v>381</v>
      </c>
      <c r="D62" s="8" t="s">
        <v>119</v>
      </c>
      <c r="E62" s="13">
        <f>HLOOKUP($D$5,'Syndicats comptes 2023'!$E$4:$AF$168,56,0)</f>
        <v>0</v>
      </c>
    </row>
    <row r="63" spans="2:5" x14ac:dyDescent="0.2">
      <c r="C63" s="8">
        <v>384</v>
      </c>
      <c r="D63" s="8" t="s">
        <v>120</v>
      </c>
      <c r="E63" s="13">
        <f>HLOOKUP($D$5,'Syndicats comptes 2023'!$E$4:$AF$168,57,0)</f>
        <v>0</v>
      </c>
    </row>
    <row r="64" spans="2:5" x14ac:dyDescent="0.2">
      <c r="C64" s="8">
        <v>385</v>
      </c>
      <c r="D64" s="8" t="s">
        <v>121</v>
      </c>
      <c r="E64" s="13">
        <f>HLOOKUP($D$5,'Syndicats comptes 2023'!$E$4:$AF$168,58,0)</f>
        <v>0</v>
      </c>
    </row>
    <row r="65" spans="1:5" x14ac:dyDescent="0.2">
      <c r="C65" s="8">
        <v>386</v>
      </c>
      <c r="D65" s="8" t="s">
        <v>122</v>
      </c>
      <c r="E65" s="13">
        <f>HLOOKUP($D$5,'Syndicats comptes 2023'!$E$4:$AF$168,59,0)</f>
        <v>0</v>
      </c>
    </row>
    <row r="66" spans="1:5" x14ac:dyDescent="0.2">
      <c r="C66" s="8">
        <v>389</v>
      </c>
      <c r="D66" s="8" t="s">
        <v>286</v>
      </c>
      <c r="E66" s="13">
        <f>HLOOKUP($D$5,'Syndicats comptes 2023'!$E$4:$AF$168,60,0)</f>
        <v>0</v>
      </c>
    </row>
    <row r="67" spans="1:5" x14ac:dyDescent="0.2">
      <c r="E67" s="13"/>
    </row>
    <row r="68" spans="1:5" ht="15" x14ac:dyDescent="0.25">
      <c r="B68" s="75">
        <v>39</v>
      </c>
      <c r="C68" s="75"/>
      <c r="D68" s="75" t="s">
        <v>124</v>
      </c>
      <c r="E68" s="76">
        <f>HLOOKUP($D$5,'Syndicats comptes 2023'!$E$4:$AF$168,62,0)</f>
        <v>0</v>
      </c>
    </row>
    <row r="69" spans="1:5" x14ac:dyDescent="0.2">
      <c r="C69" s="8">
        <v>390</v>
      </c>
      <c r="D69" s="8" t="s">
        <v>125</v>
      </c>
      <c r="E69" s="13">
        <f>HLOOKUP($D$5,'Syndicats comptes 2023'!$E$4:$AF$168,63,0)</f>
        <v>0</v>
      </c>
    </row>
    <row r="70" spans="1:5" x14ac:dyDescent="0.2">
      <c r="C70" s="8">
        <v>391</v>
      </c>
      <c r="D70" s="8" t="s">
        <v>126</v>
      </c>
      <c r="E70" s="13">
        <f>HLOOKUP($D$5,'Syndicats comptes 2023'!$E$4:$AF$168,64,0)</f>
        <v>0</v>
      </c>
    </row>
    <row r="71" spans="1:5" x14ac:dyDescent="0.2">
      <c r="C71" s="8">
        <v>392</v>
      </c>
      <c r="D71" s="8" t="s">
        <v>127</v>
      </c>
      <c r="E71" s="13">
        <f>HLOOKUP($D$5,'Syndicats comptes 2023'!$E$4:$AF$168,65,0)</f>
        <v>0</v>
      </c>
    </row>
    <row r="72" spans="1:5" x14ac:dyDescent="0.2">
      <c r="C72" s="8">
        <v>393</v>
      </c>
      <c r="D72" s="8" t="s">
        <v>128</v>
      </c>
      <c r="E72" s="13">
        <f>HLOOKUP($D$5,'Syndicats comptes 2023'!$E$4:$AF$168,66,0)</f>
        <v>0</v>
      </c>
    </row>
    <row r="73" spans="1:5" x14ac:dyDescent="0.2">
      <c r="C73" s="8">
        <v>394</v>
      </c>
      <c r="D73" s="8" t="s">
        <v>129</v>
      </c>
      <c r="E73" s="13">
        <f>HLOOKUP($D$5,'Syndicats comptes 2023'!$E$4:$AF$168,67,0)</f>
        <v>0</v>
      </c>
    </row>
    <row r="74" spans="1:5" x14ac:dyDescent="0.2">
      <c r="C74" s="8">
        <v>395</v>
      </c>
      <c r="D74" s="8" t="s">
        <v>130</v>
      </c>
      <c r="E74" s="13">
        <f>HLOOKUP($D$5,'Syndicats comptes 2023'!$E$4:$AF$168,68,0)</f>
        <v>0</v>
      </c>
    </row>
    <row r="75" spans="1:5" x14ac:dyDescent="0.2">
      <c r="C75" s="8">
        <v>398</v>
      </c>
      <c r="D75" s="8" t="s">
        <v>131</v>
      </c>
      <c r="E75" s="13">
        <f>HLOOKUP($D$5,'Syndicats comptes 2023'!$E$4:$AF$168,69,0)</f>
        <v>0</v>
      </c>
    </row>
    <row r="76" spans="1:5" x14ac:dyDescent="0.2">
      <c r="C76" s="8">
        <v>399</v>
      </c>
      <c r="D76" s="8" t="s">
        <v>132</v>
      </c>
      <c r="E76" s="13">
        <f>HLOOKUP($D$5,'Syndicats comptes 2023'!$E$4:$AF$168,70,0)</f>
        <v>0</v>
      </c>
    </row>
    <row r="77" spans="1:5" x14ac:dyDescent="0.2">
      <c r="E77" s="13"/>
    </row>
    <row r="78" spans="1:5" x14ac:dyDescent="0.2">
      <c r="E78" s="13"/>
    </row>
    <row r="79" spans="1:5" ht="20.25" x14ac:dyDescent="0.3">
      <c r="A79" s="14">
        <v>4</v>
      </c>
      <c r="B79" s="14"/>
      <c r="C79" s="14"/>
      <c r="D79" s="14" t="s">
        <v>133</v>
      </c>
      <c r="E79" s="94">
        <f>HLOOKUP($D$5,'Syndicats comptes 2023'!$E$4:$AF$168,73,0)</f>
        <v>48088.800000000003</v>
      </c>
    </row>
    <row r="80" spans="1:5" ht="15" x14ac:dyDescent="0.25">
      <c r="A80" s="7"/>
      <c r="B80" s="77">
        <v>40</v>
      </c>
      <c r="C80" s="77"/>
      <c r="D80" s="77" t="s">
        <v>76</v>
      </c>
      <c r="E80" s="78">
        <f>HLOOKUP($D$5,'Syndicats comptes 2023'!$E$4:$AF$168,74,0)</f>
        <v>0</v>
      </c>
    </row>
    <row r="81" spans="2:5" x14ac:dyDescent="0.2">
      <c r="C81" s="8">
        <v>400</v>
      </c>
      <c r="D81" s="8" t="s">
        <v>134</v>
      </c>
      <c r="E81" s="13">
        <f>HLOOKUP($D$5,'Syndicats comptes 2023'!$E$4:$AF$168,75,0)</f>
        <v>0</v>
      </c>
    </row>
    <row r="82" spans="2:5" x14ac:dyDescent="0.2">
      <c r="C82" s="8">
        <v>401</v>
      </c>
      <c r="D82" s="8" t="s">
        <v>135</v>
      </c>
      <c r="E82" s="13">
        <f>HLOOKUP($D$5,'Syndicats comptes 2023'!$E$4:$AF$168,76,0)</f>
        <v>0</v>
      </c>
    </row>
    <row r="83" spans="2:5" x14ac:dyDescent="0.2">
      <c r="C83" s="8">
        <v>402</v>
      </c>
      <c r="D83" s="8" t="s">
        <v>136</v>
      </c>
      <c r="E83" s="13">
        <f>HLOOKUP($D$5,'Syndicats comptes 2023'!$E$4:$AF$168,77,0)</f>
        <v>0</v>
      </c>
    </row>
    <row r="84" spans="2:5" x14ac:dyDescent="0.2">
      <c r="C84" s="8">
        <v>403</v>
      </c>
      <c r="D84" s="8" t="s">
        <v>137</v>
      </c>
      <c r="E84" s="13">
        <f>HLOOKUP($D$5,'Syndicats comptes 2023'!$E$4:$AF$168,78,0)</f>
        <v>0</v>
      </c>
    </row>
    <row r="85" spans="2:5" x14ac:dyDescent="0.2">
      <c r="E85" s="13"/>
    </row>
    <row r="86" spans="2:5" ht="15" x14ac:dyDescent="0.25">
      <c r="B86" s="77">
        <v>41</v>
      </c>
      <c r="C86" s="77"/>
      <c r="D86" s="77" t="s">
        <v>138</v>
      </c>
      <c r="E86" s="78">
        <f>HLOOKUP($D$5,'Syndicats comptes 2023'!$E$4:$AF$168,80,0)</f>
        <v>0</v>
      </c>
    </row>
    <row r="87" spans="2:5" x14ac:dyDescent="0.2">
      <c r="C87" s="8">
        <v>410</v>
      </c>
      <c r="D87" s="8" t="s">
        <v>139</v>
      </c>
      <c r="E87" s="13">
        <f>HLOOKUP($D$5,'Syndicats comptes 2023'!$E$4:$AF$168,81,0)</f>
        <v>0</v>
      </c>
    </row>
    <row r="88" spans="2:5" x14ac:dyDescent="0.2">
      <c r="C88" s="8">
        <v>411</v>
      </c>
      <c r="D88" s="8" t="s">
        <v>140</v>
      </c>
      <c r="E88" s="13">
        <f>HLOOKUP($D$5,'Syndicats comptes 2023'!$E$4:$AF$168,82,0)</f>
        <v>0</v>
      </c>
    </row>
    <row r="89" spans="2:5" x14ac:dyDescent="0.2">
      <c r="C89" s="8">
        <v>412</v>
      </c>
      <c r="D89" s="8" t="s">
        <v>141</v>
      </c>
      <c r="E89" s="13">
        <f>HLOOKUP($D$5,'Syndicats comptes 2023'!$E$4:$AF$168,83,0)</f>
        <v>0</v>
      </c>
    </row>
    <row r="90" spans="2:5" x14ac:dyDescent="0.2">
      <c r="C90" s="8">
        <v>413</v>
      </c>
      <c r="D90" s="8" t="s">
        <v>142</v>
      </c>
      <c r="E90" s="13">
        <f>HLOOKUP($D$5,'Syndicats comptes 2023'!$E$4:$AF$168,84,0)</f>
        <v>0</v>
      </c>
    </row>
    <row r="91" spans="2:5" x14ac:dyDescent="0.2">
      <c r="E91" s="13"/>
    </row>
    <row r="92" spans="2:5" ht="15" x14ac:dyDescent="0.25">
      <c r="B92" s="77">
        <v>42</v>
      </c>
      <c r="C92" s="77"/>
      <c r="D92" s="77" t="s">
        <v>143</v>
      </c>
      <c r="E92" s="78">
        <f>HLOOKUP($D$5,'Syndicats comptes 2023'!$E$4:$AF$168,86,0)</f>
        <v>0</v>
      </c>
    </row>
    <row r="93" spans="2:5" x14ac:dyDescent="0.2">
      <c r="C93" s="8">
        <v>420</v>
      </c>
      <c r="D93" s="8" t="s">
        <v>144</v>
      </c>
      <c r="E93" s="13">
        <f>HLOOKUP($D$5,'Syndicats comptes 2023'!$E$4:$AF$168,87,0)</f>
        <v>0</v>
      </c>
    </row>
    <row r="94" spans="2:5" x14ac:dyDescent="0.2">
      <c r="C94" s="8">
        <v>421</v>
      </c>
      <c r="D94" s="8" t="s">
        <v>145</v>
      </c>
      <c r="E94" s="13">
        <f>HLOOKUP($D$5,'Syndicats comptes 2023'!$E$4:$AF$168,88,0)</f>
        <v>0</v>
      </c>
    </row>
    <row r="95" spans="2:5" x14ac:dyDescent="0.2">
      <c r="C95" s="8">
        <v>422</v>
      </c>
      <c r="D95" s="8" t="s">
        <v>146</v>
      </c>
      <c r="E95" s="13">
        <f>HLOOKUP($D$5,'Syndicats comptes 2023'!$E$4:$AF$168,89,0)</f>
        <v>0</v>
      </c>
    </row>
    <row r="96" spans="2:5" x14ac:dyDescent="0.2">
      <c r="C96" s="8">
        <v>423</v>
      </c>
      <c r="D96" s="8" t="s">
        <v>147</v>
      </c>
      <c r="E96" s="13">
        <f>HLOOKUP($D$5,'Syndicats comptes 2023'!$E$4:$AF$168,90,0)</f>
        <v>0</v>
      </c>
    </row>
    <row r="97" spans="2:5" x14ac:dyDescent="0.2">
      <c r="C97" s="8">
        <v>424</v>
      </c>
      <c r="D97" s="8" t="s">
        <v>148</v>
      </c>
      <c r="E97" s="13">
        <f>HLOOKUP($D$5,'Syndicats comptes 2023'!$E$4:$AF$168,91,0)</f>
        <v>0</v>
      </c>
    </row>
    <row r="98" spans="2:5" x14ac:dyDescent="0.2">
      <c r="C98" s="8">
        <v>425</v>
      </c>
      <c r="D98" s="8" t="s">
        <v>149</v>
      </c>
      <c r="E98" s="13">
        <f>HLOOKUP($D$5,'Syndicats comptes 2023'!$E$4:$AF$168,92,0)</f>
        <v>0</v>
      </c>
    </row>
    <row r="99" spans="2:5" x14ac:dyDescent="0.2">
      <c r="C99" s="8">
        <v>426</v>
      </c>
      <c r="D99" s="8" t="s">
        <v>150</v>
      </c>
      <c r="E99" s="13">
        <f>HLOOKUP($D$5,'Syndicats comptes 2023'!$E$4:$AF$168,93,0)</f>
        <v>0</v>
      </c>
    </row>
    <row r="100" spans="2:5" x14ac:dyDescent="0.2">
      <c r="C100" s="8">
        <v>427</v>
      </c>
      <c r="D100" s="8" t="s">
        <v>151</v>
      </c>
      <c r="E100" s="13">
        <f>HLOOKUP($D$5,'Syndicats comptes 2023'!$E$4:$AF$168,94,0)</f>
        <v>0</v>
      </c>
    </row>
    <row r="101" spans="2:5" x14ac:dyDescent="0.2">
      <c r="C101" s="8">
        <v>429</v>
      </c>
      <c r="D101" s="8" t="s">
        <v>152</v>
      </c>
      <c r="E101" s="13">
        <f>HLOOKUP($D$5,'Syndicats comptes 2023'!$E$4:$AF$168,95,0)</f>
        <v>0</v>
      </c>
    </row>
    <row r="102" spans="2:5" x14ac:dyDescent="0.2">
      <c r="E102" s="13"/>
    </row>
    <row r="103" spans="2:5" ht="15" x14ac:dyDescent="0.25">
      <c r="B103" s="77">
        <v>43</v>
      </c>
      <c r="C103" s="77"/>
      <c r="D103" s="77" t="s">
        <v>153</v>
      </c>
      <c r="E103" s="78">
        <f>HLOOKUP($D$5,'Syndicats comptes 2023'!$E$4:$AF$168,97,0)</f>
        <v>0</v>
      </c>
    </row>
    <row r="104" spans="2:5" x14ac:dyDescent="0.2">
      <c r="C104" s="8">
        <v>430</v>
      </c>
      <c r="D104" s="8" t="s">
        <v>154</v>
      </c>
      <c r="E104" s="13">
        <f>HLOOKUP($D$5,'Syndicats comptes 2023'!$E$4:$AF$168,98,0)</f>
        <v>0</v>
      </c>
    </row>
    <row r="105" spans="2:5" x14ac:dyDescent="0.2">
      <c r="C105" s="8">
        <v>431</v>
      </c>
      <c r="D105" s="8" t="s">
        <v>155</v>
      </c>
      <c r="E105" s="13">
        <f>HLOOKUP($D$5,'Syndicats comptes 2023'!$E$4:$AF$168,99,0)</f>
        <v>0</v>
      </c>
    </row>
    <row r="106" spans="2:5" x14ac:dyDescent="0.2">
      <c r="C106" s="8">
        <v>432</v>
      </c>
      <c r="D106" s="8" t="s">
        <v>156</v>
      </c>
      <c r="E106" s="13">
        <f>HLOOKUP($D$5,'Syndicats comptes 2023'!$E$4:$AF$168,100,0)</f>
        <v>0</v>
      </c>
    </row>
    <row r="107" spans="2:5" x14ac:dyDescent="0.2">
      <c r="C107" s="8">
        <v>439</v>
      </c>
      <c r="D107" s="8" t="s">
        <v>157</v>
      </c>
      <c r="E107" s="13">
        <f>HLOOKUP($D$5,'Syndicats comptes 2023'!$E$4:$AF$168,101,0)</f>
        <v>0</v>
      </c>
    </row>
    <row r="108" spans="2:5" x14ac:dyDescent="0.2">
      <c r="E108" s="13"/>
    </row>
    <row r="109" spans="2:5" ht="15" x14ac:dyDescent="0.25">
      <c r="B109" s="77">
        <v>44</v>
      </c>
      <c r="C109" s="77"/>
      <c r="D109" s="77" t="s">
        <v>158</v>
      </c>
      <c r="E109" s="78">
        <f>HLOOKUP($D$5,'Syndicats comptes 2023'!$E$4:$AF$168,103,0)</f>
        <v>0</v>
      </c>
    </row>
    <row r="110" spans="2:5" x14ac:dyDescent="0.2">
      <c r="C110" s="8">
        <v>440</v>
      </c>
      <c r="D110" s="8" t="s">
        <v>159</v>
      </c>
      <c r="E110" s="13">
        <f>HLOOKUP($D$5,'Syndicats comptes 2023'!$E$4:$AF$168,104,0)</f>
        <v>0</v>
      </c>
    </row>
    <row r="111" spans="2:5" x14ac:dyDescent="0.2">
      <c r="C111" s="8">
        <v>441</v>
      </c>
      <c r="D111" s="8" t="s">
        <v>160</v>
      </c>
      <c r="E111" s="13">
        <f>HLOOKUP($D$5,'Syndicats comptes 2023'!$E$4:$AF$168,105,0)</f>
        <v>0</v>
      </c>
    </row>
    <row r="112" spans="2:5" x14ac:dyDescent="0.2">
      <c r="C112" s="8">
        <v>442</v>
      </c>
      <c r="D112" s="8" t="s">
        <v>161</v>
      </c>
      <c r="E112" s="13">
        <f>HLOOKUP($D$5,'Syndicats comptes 2023'!$E$4:$AF$168,106,0)</f>
        <v>0</v>
      </c>
    </row>
    <row r="113" spans="2:5" x14ac:dyDescent="0.2">
      <c r="C113" s="8">
        <v>443</v>
      </c>
      <c r="D113" s="8" t="s">
        <v>162</v>
      </c>
      <c r="E113" s="13">
        <f>HLOOKUP($D$5,'Syndicats comptes 2023'!$E$4:$AF$168,107,0)</f>
        <v>0</v>
      </c>
    </row>
    <row r="114" spans="2:5" x14ac:dyDescent="0.2">
      <c r="C114" s="8">
        <v>444</v>
      </c>
      <c r="D114" s="8" t="s">
        <v>102</v>
      </c>
      <c r="E114" s="13">
        <f>HLOOKUP($D$5,'Syndicats comptes 2023'!$E$4:$AF$168,108,0)</f>
        <v>0</v>
      </c>
    </row>
    <row r="115" spans="2:5" x14ac:dyDescent="0.2">
      <c r="C115" s="8">
        <v>445</v>
      </c>
      <c r="D115" s="8" t="s">
        <v>163</v>
      </c>
      <c r="E115" s="13">
        <f>HLOOKUP($D$5,'Syndicats comptes 2023'!$E$4:$AF$168,109,0)</f>
        <v>0</v>
      </c>
    </row>
    <row r="116" spans="2:5" x14ac:dyDescent="0.2">
      <c r="C116" s="8">
        <v>446</v>
      </c>
      <c r="D116" s="8" t="s">
        <v>164</v>
      </c>
      <c r="E116" s="13">
        <f>HLOOKUP($D$5,'Syndicats comptes 2023'!$E$4:$AF$168,110,0)</f>
        <v>0</v>
      </c>
    </row>
    <row r="117" spans="2:5" x14ac:dyDescent="0.2">
      <c r="C117" s="8">
        <v>447</v>
      </c>
      <c r="D117" s="8" t="s">
        <v>165</v>
      </c>
      <c r="E117" s="13">
        <f>HLOOKUP($D$5,'Syndicats comptes 2023'!$E$4:$AF$168,111,0)</f>
        <v>0</v>
      </c>
    </row>
    <row r="118" spans="2:5" x14ac:dyDescent="0.2">
      <c r="C118" s="8">
        <v>448</v>
      </c>
      <c r="D118" s="8" t="s">
        <v>166</v>
      </c>
      <c r="E118" s="13">
        <f>HLOOKUP($D$5,'Syndicats comptes 2023'!$E$4:$AF$168,112,0)</f>
        <v>0</v>
      </c>
    </row>
    <row r="119" spans="2:5" x14ac:dyDescent="0.2">
      <c r="C119" s="8">
        <v>449</v>
      </c>
      <c r="D119" s="8" t="s">
        <v>167</v>
      </c>
      <c r="E119" s="13">
        <f>HLOOKUP($D$5,'Syndicats comptes 2023'!$E$4:$AF$168,113,0)</f>
        <v>0</v>
      </c>
    </row>
    <row r="120" spans="2:5" x14ac:dyDescent="0.2">
      <c r="E120" s="13"/>
    </row>
    <row r="121" spans="2:5" ht="15" x14ac:dyDescent="0.25">
      <c r="B121" s="77">
        <v>45</v>
      </c>
      <c r="C121" s="77"/>
      <c r="D121" s="77" t="s">
        <v>170</v>
      </c>
      <c r="E121" s="78">
        <f>HLOOKUP($D$5,'Syndicats comptes 2023'!$E$4:$AF$168,115,0)</f>
        <v>0</v>
      </c>
    </row>
    <row r="122" spans="2:5" x14ac:dyDescent="0.2">
      <c r="C122" s="8">
        <v>450</v>
      </c>
      <c r="D122" s="8" t="s">
        <v>168</v>
      </c>
      <c r="E122" s="13">
        <f>HLOOKUP($D$5,'Syndicats comptes 2023'!$E$4:$AF$168,116,0)</f>
        <v>0</v>
      </c>
    </row>
    <row r="123" spans="2:5" x14ac:dyDescent="0.2">
      <c r="C123" s="8">
        <v>451</v>
      </c>
      <c r="D123" s="8" t="s">
        <v>169</v>
      </c>
      <c r="E123" s="13">
        <f>HLOOKUP($D$5,'Syndicats comptes 2023'!$E$4:$AF$168,117,0)</f>
        <v>0</v>
      </c>
    </row>
    <row r="124" spans="2:5" x14ac:dyDescent="0.2">
      <c r="E124" s="13"/>
    </row>
    <row r="125" spans="2:5" ht="15" x14ac:dyDescent="0.25">
      <c r="B125" s="77">
        <v>46</v>
      </c>
      <c r="C125" s="77"/>
      <c r="D125" s="77" t="s">
        <v>171</v>
      </c>
      <c r="E125" s="78">
        <f>HLOOKUP($D$5,'Syndicats comptes 2023'!$E$4:$AF$168,119,0)</f>
        <v>48088.800000000003</v>
      </c>
    </row>
    <row r="126" spans="2:5" x14ac:dyDescent="0.2">
      <c r="C126" s="8">
        <v>460</v>
      </c>
      <c r="D126" s="8" t="s">
        <v>172</v>
      </c>
      <c r="E126" s="13">
        <f>HLOOKUP($D$5,'Syndicats comptes 2023'!$E$4:$AF$168,120,0)</f>
        <v>0</v>
      </c>
    </row>
    <row r="127" spans="2:5" x14ac:dyDescent="0.2">
      <c r="C127" s="8">
        <v>461</v>
      </c>
      <c r="D127" s="8" t="s">
        <v>173</v>
      </c>
      <c r="E127" s="13">
        <f>HLOOKUP($D$5,'Syndicats comptes 2023'!$E$4:$AF$168,121,0)</f>
        <v>48088.800000000003</v>
      </c>
    </row>
    <row r="128" spans="2:5" x14ac:dyDescent="0.2">
      <c r="C128" s="8">
        <v>462</v>
      </c>
      <c r="D128" s="8" t="s">
        <v>109</v>
      </c>
      <c r="E128" s="13">
        <f>HLOOKUP($D$5,'Syndicats comptes 2023'!$E$4:$AF$168,122,0)</f>
        <v>0</v>
      </c>
    </row>
    <row r="129" spans="2:5" x14ac:dyDescent="0.2">
      <c r="C129" s="8">
        <v>463</v>
      </c>
      <c r="D129" s="8" t="s">
        <v>174</v>
      </c>
      <c r="E129" s="13">
        <f>HLOOKUP($D$5,'Syndicats comptes 2023'!$E$4:$AF$168,123,0)</f>
        <v>0</v>
      </c>
    </row>
    <row r="130" spans="2:5" x14ac:dyDescent="0.2">
      <c r="C130" s="8">
        <v>469</v>
      </c>
      <c r="D130" s="8" t="s">
        <v>175</v>
      </c>
      <c r="E130" s="13">
        <f>HLOOKUP($D$5,'Syndicats comptes 2023'!$E$4:$AF$168,124,0)</f>
        <v>0</v>
      </c>
    </row>
    <row r="131" spans="2:5" x14ac:dyDescent="0.2">
      <c r="E131" s="13"/>
    </row>
    <row r="132" spans="2:5" ht="15" x14ac:dyDescent="0.25">
      <c r="B132" s="77">
        <v>47</v>
      </c>
      <c r="C132" s="77"/>
      <c r="D132" s="77" t="s">
        <v>115</v>
      </c>
      <c r="E132" s="78">
        <f>HLOOKUP($D$5,'Syndicats comptes 2023'!$E$4:$AF$168,126,0)</f>
        <v>0</v>
      </c>
    </row>
    <row r="133" spans="2:5" x14ac:dyDescent="0.2">
      <c r="C133" s="8">
        <v>470</v>
      </c>
      <c r="D133" s="8" t="s">
        <v>176</v>
      </c>
      <c r="E133" s="13">
        <f>HLOOKUP($D$5,'Syndicats comptes 2023'!$E$4:$AF$168,127,0)</f>
        <v>0</v>
      </c>
    </row>
    <row r="134" spans="2:5" x14ac:dyDescent="0.2">
      <c r="E134" s="13"/>
    </row>
    <row r="135" spans="2:5" ht="15" x14ac:dyDescent="0.25">
      <c r="B135" s="77">
        <v>48</v>
      </c>
      <c r="C135" s="77"/>
      <c r="D135" s="77" t="s">
        <v>177</v>
      </c>
      <c r="E135" s="78">
        <f>HLOOKUP($D$5,'Syndicats comptes 2023'!$E$4:$AF$168,129,0)</f>
        <v>0</v>
      </c>
    </row>
    <row r="136" spans="2:5" x14ac:dyDescent="0.2">
      <c r="C136" s="8">
        <v>481</v>
      </c>
      <c r="D136" s="8" t="s">
        <v>178</v>
      </c>
      <c r="E136" s="13">
        <f>HLOOKUP($D$5,'Syndicats comptes 2023'!$E$4:$AF$168,130,0)</f>
        <v>0</v>
      </c>
    </row>
    <row r="137" spans="2:5" x14ac:dyDescent="0.2">
      <c r="C137" s="8">
        <v>482</v>
      </c>
      <c r="D137" s="8" t="s">
        <v>179</v>
      </c>
      <c r="E137" s="13">
        <f>HLOOKUP($D$5,'Syndicats comptes 2023'!$E$4:$AF$168,131,0)</f>
        <v>0</v>
      </c>
    </row>
    <row r="138" spans="2:5" x14ac:dyDescent="0.2">
      <c r="C138" s="8">
        <v>483</v>
      </c>
      <c r="D138" s="8" t="s">
        <v>180</v>
      </c>
      <c r="E138" s="13">
        <f>HLOOKUP($D$5,'Syndicats comptes 2023'!$E$4:$AF$168,132,0)</f>
        <v>0</v>
      </c>
    </row>
    <row r="139" spans="2:5" x14ac:dyDescent="0.2">
      <c r="C139" s="8">
        <v>484</v>
      </c>
      <c r="D139" s="8" t="s">
        <v>181</v>
      </c>
      <c r="E139" s="13">
        <f>HLOOKUP($D$5,'Syndicats comptes 2023'!$E$4:$AF$168,133,0)</f>
        <v>0</v>
      </c>
    </row>
    <row r="140" spans="2:5" x14ac:dyDescent="0.2">
      <c r="C140" s="8">
        <v>485</v>
      </c>
      <c r="D140" s="8" t="s">
        <v>182</v>
      </c>
      <c r="E140" s="13">
        <f>HLOOKUP($D$5,'Syndicats comptes 2023'!$E$4:$AF$168,134,0)</f>
        <v>0</v>
      </c>
    </row>
    <row r="141" spans="2:5" x14ac:dyDescent="0.2">
      <c r="C141" s="8">
        <v>486</v>
      </c>
      <c r="D141" s="8" t="s">
        <v>183</v>
      </c>
      <c r="E141" s="13">
        <f>HLOOKUP($D$5,'Syndicats comptes 2023'!$E$4:$AF$168,135,0)</f>
        <v>0</v>
      </c>
    </row>
    <row r="142" spans="2:5" x14ac:dyDescent="0.2">
      <c r="C142" s="8">
        <v>489</v>
      </c>
      <c r="D142" s="8" t="s">
        <v>184</v>
      </c>
      <c r="E142" s="13">
        <f>HLOOKUP($D$5,'Syndicats comptes 2023'!$E$4:$AF$168,136,0)</f>
        <v>0</v>
      </c>
    </row>
    <row r="143" spans="2:5" x14ac:dyDescent="0.2">
      <c r="E143" s="13"/>
    </row>
    <row r="144" spans="2:5" ht="15" x14ac:dyDescent="0.25">
      <c r="B144" s="77">
        <v>49</v>
      </c>
      <c r="C144" s="77"/>
      <c r="D144" s="77" t="s">
        <v>124</v>
      </c>
      <c r="E144" s="78">
        <f>HLOOKUP($D$5,'Syndicats comptes 2023'!$E$4:$AF$168,138,0)</f>
        <v>0</v>
      </c>
    </row>
    <row r="145" spans="1:5" x14ac:dyDescent="0.2">
      <c r="C145" s="8">
        <v>490</v>
      </c>
      <c r="D145" s="8" t="s">
        <v>125</v>
      </c>
      <c r="E145" s="13">
        <f>HLOOKUP($D$5,'Syndicats comptes 2023'!$E$4:$AF$168,139,0)</f>
        <v>0</v>
      </c>
    </row>
    <row r="146" spans="1:5" x14ac:dyDescent="0.2">
      <c r="C146" s="8">
        <v>491</v>
      </c>
      <c r="D146" s="8" t="s">
        <v>126</v>
      </c>
      <c r="E146" s="13">
        <f>HLOOKUP($D$5,'Syndicats comptes 2023'!$E$4:$AF$168,140,0)</f>
        <v>0</v>
      </c>
    </row>
    <row r="147" spans="1:5" x14ac:dyDescent="0.2">
      <c r="C147" s="8">
        <v>492</v>
      </c>
      <c r="D147" s="8" t="s">
        <v>185</v>
      </c>
      <c r="E147" s="13">
        <f>HLOOKUP($D$5,'Syndicats comptes 2023'!$E$4:$AF$168,141,0)</f>
        <v>0</v>
      </c>
    </row>
    <row r="148" spans="1:5" x14ac:dyDescent="0.2">
      <c r="C148" s="8">
        <v>493</v>
      </c>
      <c r="D148" s="8" t="s">
        <v>186</v>
      </c>
      <c r="E148" s="13">
        <f>HLOOKUP($D$5,'Syndicats comptes 2023'!$E$4:$AF$168,142,0)</f>
        <v>0</v>
      </c>
    </row>
    <row r="149" spans="1:5" x14ac:dyDescent="0.2">
      <c r="C149" s="8">
        <v>494</v>
      </c>
      <c r="D149" s="8" t="s">
        <v>129</v>
      </c>
      <c r="E149" s="13">
        <f>HLOOKUP($D$5,'Syndicats comptes 2023'!$E$4:$AF$168,143,0)</f>
        <v>0</v>
      </c>
    </row>
    <row r="150" spans="1:5" x14ac:dyDescent="0.2">
      <c r="C150" s="8">
        <v>495</v>
      </c>
      <c r="D150" s="8" t="s">
        <v>187</v>
      </c>
      <c r="E150" s="13">
        <f>HLOOKUP($D$5,'Syndicats comptes 2023'!$E$4:$AF$168,144,0)</f>
        <v>0</v>
      </c>
    </row>
    <row r="151" spans="1:5" x14ac:dyDescent="0.2">
      <c r="C151" s="8">
        <v>498</v>
      </c>
      <c r="D151" s="8" t="s">
        <v>188</v>
      </c>
      <c r="E151" s="13">
        <f>HLOOKUP($D$5,'Syndicats comptes 2023'!$E$4:$AF$168,145,0)</f>
        <v>0</v>
      </c>
    </row>
    <row r="152" spans="1:5" x14ac:dyDescent="0.2">
      <c r="C152" s="8">
        <v>499</v>
      </c>
      <c r="D152" s="8" t="s">
        <v>132</v>
      </c>
      <c r="E152" s="13">
        <f>HLOOKUP($D$5,'Syndicats comptes 2023'!$E$4:$AF$168,146,0)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1"/>
    </row>
    <row r="157" spans="1:5" ht="15" x14ac:dyDescent="0.25">
      <c r="A157" s="79"/>
      <c r="B157" s="79">
        <v>90</v>
      </c>
      <c r="C157" s="79"/>
      <c r="D157" s="79" t="s">
        <v>191</v>
      </c>
      <c r="E157" s="81">
        <f>HLOOKUP($D$5,'Syndicats comptes 2023'!$E$4:$AF$168,151,0)</f>
        <v>1086.9000000000001</v>
      </c>
    </row>
    <row r="158" spans="1:5" x14ac:dyDescent="0.2">
      <c r="C158" s="8">
        <v>900</v>
      </c>
      <c r="D158" s="8" t="s">
        <v>192</v>
      </c>
      <c r="E158" s="13">
        <f>HLOOKUP($D$5,'Syndicats comptes 2023'!$E$4:$AF$168,152,0)</f>
        <v>1086.9000000000001</v>
      </c>
    </row>
    <row r="159" spans="1:5" x14ac:dyDescent="0.2">
      <c r="C159" s="8">
        <v>901</v>
      </c>
      <c r="D159" s="8" t="s">
        <v>193</v>
      </c>
      <c r="E159" s="13">
        <f>HLOOKUP($D$5,'Syndicats comptes 2023'!$E$4:$AF$168,153,0)</f>
        <v>0</v>
      </c>
    </row>
    <row r="160" spans="1:5" x14ac:dyDescent="0.2">
      <c r="E160" s="13"/>
    </row>
    <row r="161" spans="4:5" ht="15" x14ac:dyDescent="0.25">
      <c r="D161" s="7" t="s">
        <v>194</v>
      </c>
      <c r="E161" s="13">
        <f>HLOOKUP($D$5,'Syndicats comptes 2023'!$E$4:$AF$168,155,0)</f>
        <v>1086.9000000000001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H39" sqref="H39"/>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804</v>
      </c>
    </row>
    <row r="6" spans="1:3" ht="15" x14ac:dyDescent="0.25">
      <c r="A6" s="96" t="s">
        <v>212</v>
      </c>
      <c r="B6" s="96" t="s">
        <v>197</v>
      </c>
      <c r="C6" s="96" t="s">
        <v>824</v>
      </c>
    </row>
    <row r="7" spans="1:3" x14ac:dyDescent="0.2">
      <c r="A7" s="97">
        <v>90</v>
      </c>
      <c r="B7" s="98" t="s">
        <v>214</v>
      </c>
      <c r="C7" s="99">
        <f>'Syndicats comptes 2023'!AF154</f>
        <v>498373.11000000004</v>
      </c>
    </row>
    <row r="8" spans="1:3" x14ac:dyDescent="0.2">
      <c r="A8" s="97">
        <v>900</v>
      </c>
      <c r="B8" s="98" t="s">
        <v>215</v>
      </c>
      <c r="C8" s="99">
        <f>'Syndicats comptes 2023'!AF155</f>
        <v>310516.22000000003</v>
      </c>
    </row>
    <row r="9" spans="1:3" x14ac:dyDescent="0.2">
      <c r="A9" s="97">
        <v>901</v>
      </c>
      <c r="B9" s="98" t="s">
        <v>216</v>
      </c>
      <c r="C9" s="99">
        <f>'Syndicats comptes 2023'!AF156</f>
        <v>187856.89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H39" sqref="H39"/>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875</v>
      </c>
    </row>
    <row r="5" spans="1:3" ht="15" thickBot="1" x14ac:dyDescent="0.25">
      <c r="B5" s="8" t="s">
        <v>805</v>
      </c>
    </row>
    <row r="6" spans="1:3" ht="15.75" thickBot="1" x14ac:dyDescent="0.3">
      <c r="B6" s="92" t="s">
        <v>792</v>
      </c>
    </row>
    <row r="9" spans="1:3" ht="15" x14ac:dyDescent="0.25">
      <c r="A9" s="96" t="s">
        <v>212</v>
      </c>
      <c r="B9" s="96" t="s">
        <v>197</v>
      </c>
      <c r="C9" s="96" t="s">
        <v>854</v>
      </c>
    </row>
    <row r="10" spans="1:3" x14ac:dyDescent="0.2">
      <c r="A10" s="97">
        <v>90</v>
      </c>
      <c r="B10" s="98" t="s">
        <v>214</v>
      </c>
      <c r="C10" s="99">
        <f>HLOOKUP($B$6,'Syndicats comptes 2023'!$E$4:$AF$169,151,0)</f>
        <v>-17144.7</v>
      </c>
    </row>
    <row r="11" spans="1:3" x14ac:dyDescent="0.2">
      <c r="A11" s="97">
        <v>900</v>
      </c>
      <c r="B11" s="98" t="s">
        <v>215</v>
      </c>
      <c r="C11" s="99">
        <f>HLOOKUP($B$6,'Syndicats comptes 2023'!$E$4:$AF$169,152,0)</f>
        <v>-17144.7</v>
      </c>
    </row>
    <row r="12" spans="1:3" x14ac:dyDescent="0.2">
      <c r="A12" s="97">
        <v>901</v>
      </c>
      <c r="B12" s="98" t="s">
        <v>216</v>
      </c>
      <c r="C12" s="99">
        <f>HLOOKUP($B$6,'Syndicats comptes 2023'!$E$4:$AF$169,153,0)</f>
        <v>0</v>
      </c>
    </row>
    <row r="14" spans="1:3" x14ac:dyDescent="0.2">
      <c r="C14" s="65"/>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H39" sqref="H39"/>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804</v>
      </c>
    </row>
    <row r="6" spans="1:3" ht="15" x14ac:dyDescent="0.25">
      <c r="A6" s="7" t="s">
        <v>857</v>
      </c>
    </row>
    <row r="8" spans="1:3" ht="15" x14ac:dyDescent="0.25">
      <c r="A8" s="96" t="s">
        <v>196</v>
      </c>
      <c r="B8" s="96" t="s">
        <v>197</v>
      </c>
      <c r="C8" s="96" t="s">
        <v>198</v>
      </c>
    </row>
    <row r="9" spans="1:3" x14ac:dyDescent="0.2">
      <c r="A9" s="97" t="s">
        <v>205</v>
      </c>
      <c r="B9" s="98" t="s">
        <v>199</v>
      </c>
      <c r="C9" s="99">
        <f>'Syndicats comptes 2023'!AF6+'Syndicats comptes 2023'!AF16+'Syndicats comptes 2023'!AF28+'Syndicats comptes 2023'!AF40+'Syndicats comptes 2023'!AF44+'Syndicats comptes 2023'!AF54</f>
        <v>39191278.900000006</v>
      </c>
    </row>
    <row r="10" spans="1:3" x14ac:dyDescent="0.2">
      <c r="A10" s="97" t="s">
        <v>206</v>
      </c>
      <c r="B10" s="98" t="s">
        <v>200</v>
      </c>
      <c r="C10" s="99">
        <f>'Syndicats comptes 2023'!AF77+'Syndicats comptes 2023'!AF83+'Syndicats comptes 2023'!AF89+'Syndicats comptes 2023'!AF100+'Syndicats comptes 2023'!AF118+'Syndicats comptes 2023'!AF122+'Syndicats comptes 2023'!AF129</f>
        <v>39521757.730000004</v>
      </c>
    </row>
    <row r="11" spans="1:3" ht="15" x14ac:dyDescent="0.25">
      <c r="A11" s="98"/>
      <c r="B11" s="100" t="s">
        <v>201</v>
      </c>
      <c r="C11" s="101">
        <f>C10-C9</f>
        <v>330478.82999999821</v>
      </c>
    </row>
    <row r="12" spans="1:3" x14ac:dyDescent="0.2">
      <c r="A12" s="98"/>
      <c r="B12" s="98"/>
      <c r="C12" s="98"/>
    </row>
    <row r="13" spans="1:3" x14ac:dyDescent="0.2">
      <c r="A13" s="98">
        <v>34</v>
      </c>
      <c r="B13" s="98" t="s">
        <v>97</v>
      </c>
      <c r="C13" s="99">
        <f>'Syndicats comptes 2023'!AF32</f>
        <v>831918.24999999988</v>
      </c>
    </row>
    <row r="14" spans="1:3" x14ac:dyDescent="0.2">
      <c r="A14" s="98">
        <v>44</v>
      </c>
      <c r="B14" s="98" t="s">
        <v>158</v>
      </c>
      <c r="C14" s="99">
        <f>'Syndicats comptes 2023'!AF106</f>
        <v>1446972.94</v>
      </c>
    </row>
    <row r="15" spans="1:3" ht="15" x14ac:dyDescent="0.25">
      <c r="A15" s="98"/>
      <c r="B15" s="100" t="s">
        <v>234</v>
      </c>
      <c r="C15" s="101">
        <f>C14-C13</f>
        <v>615054.69000000006</v>
      </c>
    </row>
    <row r="16" spans="1:3" x14ac:dyDescent="0.2">
      <c r="A16" s="98"/>
      <c r="B16" s="98"/>
      <c r="C16" s="98"/>
    </row>
    <row r="17" spans="1:3" ht="15" x14ac:dyDescent="0.25">
      <c r="A17" s="98"/>
      <c r="B17" s="100" t="s">
        <v>202</v>
      </c>
      <c r="C17" s="101">
        <f>C11+C15</f>
        <v>945533.51999999827</v>
      </c>
    </row>
    <row r="18" spans="1:3" x14ac:dyDescent="0.2">
      <c r="A18" s="98"/>
      <c r="B18" s="98"/>
      <c r="C18" s="98"/>
    </row>
    <row r="19" spans="1:3" x14ac:dyDescent="0.2">
      <c r="A19" s="98">
        <v>38</v>
      </c>
      <c r="B19" s="98" t="s">
        <v>117</v>
      </c>
      <c r="C19" s="99">
        <f>'Syndicats comptes 2023'!AF57</f>
        <v>2500005.2000000002</v>
      </c>
    </row>
    <row r="20" spans="1:3" x14ac:dyDescent="0.2">
      <c r="A20" s="98">
        <v>48</v>
      </c>
      <c r="B20" s="98" t="s">
        <v>177</v>
      </c>
      <c r="C20" s="99">
        <f>'Syndicats comptes 2023'!AF132</f>
        <v>2069348.69</v>
      </c>
    </row>
    <row r="21" spans="1:3" ht="15" x14ac:dyDescent="0.25">
      <c r="A21" s="98"/>
      <c r="B21" s="100" t="s">
        <v>203</v>
      </c>
      <c r="C21" s="101">
        <f>C20-C19</f>
        <v>-430656.51000000024</v>
      </c>
    </row>
    <row r="22" spans="1:3" x14ac:dyDescent="0.2">
      <c r="A22" s="98"/>
      <c r="B22" s="98"/>
      <c r="C22" s="98"/>
    </row>
    <row r="23" spans="1:3" ht="15" x14ac:dyDescent="0.25">
      <c r="A23" s="98"/>
      <c r="B23" s="100" t="s">
        <v>204</v>
      </c>
      <c r="C23" s="101">
        <f>C17+C21</f>
        <v>514877.00999999803</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H39" sqref="H39"/>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8" t="s">
        <v>805</v>
      </c>
    </row>
    <row r="6" spans="1:3" ht="15.75" thickBot="1" x14ac:dyDescent="0.3">
      <c r="B6" s="92" t="s">
        <v>792</v>
      </c>
    </row>
    <row r="8" spans="1:3" ht="15" x14ac:dyDescent="0.25">
      <c r="A8" s="96" t="s">
        <v>196</v>
      </c>
      <c r="B8" s="96" t="s">
        <v>197</v>
      </c>
      <c r="C8" s="96" t="s">
        <v>198</v>
      </c>
    </row>
    <row r="9" spans="1:3" x14ac:dyDescent="0.2">
      <c r="A9" s="97" t="s">
        <v>205</v>
      </c>
      <c r="B9" s="98" t="s">
        <v>199</v>
      </c>
      <c r="C9" s="99">
        <f>HLOOKUP($B$6,'Syndicats comptes 2023'!$E$4:$AF$168,164,0)</f>
        <v>640057.70000000007</v>
      </c>
    </row>
    <row r="10" spans="1:3" x14ac:dyDescent="0.2">
      <c r="A10" s="97" t="s">
        <v>206</v>
      </c>
      <c r="B10" s="98" t="s">
        <v>200</v>
      </c>
      <c r="C10" s="99">
        <f>HLOOKUP($B$6,'Syndicats comptes 2023'!$E$4:$AF$168,165,0)</f>
        <v>639965.75</v>
      </c>
    </row>
    <row r="11" spans="1:3" ht="15" x14ac:dyDescent="0.25">
      <c r="A11" s="98"/>
      <c r="B11" s="100" t="s">
        <v>201</v>
      </c>
      <c r="C11" s="101">
        <f>C10-C9</f>
        <v>-91.950000000069849</v>
      </c>
    </row>
    <row r="12" spans="1:3" x14ac:dyDescent="0.2">
      <c r="A12" s="98"/>
      <c r="B12" s="98"/>
      <c r="C12" s="98"/>
    </row>
    <row r="13" spans="1:3" x14ac:dyDescent="0.2">
      <c r="A13" s="98">
        <v>34</v>
      </c>
      <c r="B13" s="98" t="s">
        <v>97</v>
      </c>
      <c r="C13" s="99">
        <f>HLOOKUP($B$6,'Syndicats comptes 2023'!$E$4:$AF$168,29,0)</f>
        <v>30388.95</v>
      </c>
    </row>
    <row r="14" spans="1:3" x14ac:dyDescent="0.2">
      <c r="A14" s="98">
        <v>44</v>
      </c>
      <c r="B14" s="98" t="s">
        <v>158</v>
      </c>
      <c r="C14" s="99">
        <f>HLOOKUP($B$6,'Syndicats comptes 2023'!$E$4:$AF$168,103,0)</f>
        <v>29840.1</v>
      </c>
    </row>
    <row r="15" spans="1:3" ht="15" x14ac:dyDescent="0.25">
      <c r="A15" s="98"/>
      <c r="B15" s="100" t="s">
        <v>234</v>
      </c>
      <c r="C15" s="101">
        <f>C14-C13</f>
        <v>-548.85000000000218</v>
      </c>
    </row>
    <row r="16" spans="1:3" x14ac:dyDescent="0.2">
      <c r="A16" s="98"/>
      <c r="B16" s="98"/>
      <c r="C16" s="98"/>
    </row>
    <row r="17" spans="1:3" ht="15" x14ac:dyDescent="0.25">
      <c r="A17" s="98"/>
      <c r="B17" s="100" t="s">
        <v>202</v>
      </c>
      <c r="C17" s="101">
        <f>C11+C15</f>
        <v>-640.80000000007203</v>
      </c>
    </row>
    <row r="18" spans="1:3" x14ac:dyDescent="0.2">
      <c r="A18" s="98"/>
      <c r="B18" s="98"/>
      <c r="C18" s="98"/>
    </row>
    <row r="19" spans="1:3" x14ac:dyDescent="0.2">
      <c r="A19" s="98">
        <v>38</v>
      </c>
      <c r="B19" s="98" t="s">
        <v>117</v>
      </c>
      <c r="C19" s="99">
        <f>HLOOKUP($B$6,'Syndicats comptes 2023'!$E$4:$AF$168,54,0)</f>
        <v>0</v>
      </c>
    </row>
    <row r="20" spans="1:3" x14ac:dyDescent="0.2">
      <c r="A20" s="98">
        <v>48</v>
      </c>
      <c r="B20" s="98" t="s">
        <v>177</v>
      </c>
      <c r="C20" s="99">
        <f>HLOOKUP($B$6,'Syndicats comptes 2023'!$E$4:$AF$168,129,0)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-640.80000000007203</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Normal="100" workbookViewId="0">
      <pane xSplit="5" ySplit="4" topLeftCell="U202" activePane="bottomRight" state="frozen"/>
      <selection activeCell="H39" sqref="H39"/>
      <selection pane="topRight" activeCell="H39" sqref="H39"/>
      <selection pane="bottomLeft" activeCell="H39" sqref="H39"/>
      <selection pane="bottomRight" activeCell="H39" sqref="H39"/>
    </sheetView>
  </sheetViews>
  <sheetFormatPr baseColWidth="10" defaultRowHeight="14.25" x14ac:dyDescent="0.2"/>
  <cols>
    <col min="1" max="3" width="4.7109375" style="8" customWidth="1"/>
    <col min="4" max="4" width="9" style="8" customWidth="1"/>
    <col min="5" max="5" width="71.85546875" style="8" customWidth="1"/>
    <col min="6" max="32" width="16.28515625" style="8" customWidth="1"/>
    <col min="33" max="33" width="17.5703125" style="8" customWidth="1"/>
    <col min="34" max="16384" width="11.42578125" style="8"/>
  </cols>
  <sheetData>
    <row r="2" spans="1:34" ht="20.25" x14ac:dyDescent="0.3">
      <c r="A2" s="192" t="s">
        <v>863</v>
      </c>
      <c r="B2" s="7"/>
      <c r="C2" s="7"/>
      <c r="D2" s="7"/>
      <c r="E2" s="16"/>
    </row>
    <row r="3" spans="1:34" ht="18" x14ac:dyDescent="0.25">
      <c r="A3" s="193" t="s">
        <v>725</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0" t="s">
        <v>778</v>
      </c>
      <c r="G4" s="90" t="s">
        <v>779</v>
      </c>
      <c r="H4" s="90" t="s">
        <v>780</v>
      </c>
      <c r="I4" s="90" t="s">
        <v>781</v>
      </c>
      <c r="J4" s="90" t="s">
        <v>782</v>
      </c>
      <c r="K4" s="90" t="s">
        <v>783</v>
      </c>
      <c r="L4" s="90" t="s">
        <v>784</v>
      </c>
      <c r="M4" s="90" t="s">
        <v>807</v>
      </c>
      <c r="N4" s="90" t="s">
        <v>785</v>
      </c>
      <c r="O4" s="90" t="s">
        <v>786</v>
      </c>
      <c r="P4" s="90" t="s">
        <v>787</v>
      </c>
      <c r="Q4" s="90" t="s">
        <v>788</v>
      </c>
      <c r="R4" s="90" t="s">
        <v>789</v>
      </c>
      <c r="S4" s="90" t="s">
        <v>790</v>
      </c>
      <c r="T4" s="90" t="s">
        <v>791</v>
      </c>
      <c r="U4" s="90" t="s">
        <v>792</v>
      </c>
      <c r="V4" s="90" t="s">
        <v>793</v>
      </c>
      <c r="W4" s="90" t="s">
        <v>794</v>
      </c>
      <c r="X4" s="90" t="s">
        <v>795</v>
      </c>
      <c r="Y4" s="90" t="s">
        <v>796</v>
      </c>
      <c r="Z4" s="90" t="s">
        <v>797</v>
      </c>
      <c r="AA4" s="90" t="s">
        <v>798</v>
      </c>
      <c r="AB4" s="90" t="s">
        <v>799</v>
      </c>
      <c r="AC4" s="90" t="s">
        <v>800</v>
      </c>
      <c r="AD4" s="90" t="s">
        <v>801</v>
      </c>
      <c r="AE4" s="90" t="s">
        <v>802</v>
      </c>
      <c r="AF4" s="90" t="s">
        <v>803</v>
      </c>
      <c r="AG4" s="112" t="s">
        <v>64</v>
      </c>
      <c r="AH4" s="8">
        <v>1</v>
      </c>
    </row>
    <row r="5" spans="1:34" ht="20.25" x14ac:dyDescent="0.3">
      <c r="A5" s="114">
        <v>1</v>
      </c>
      <c r="B5" s="114"/>
      <c r="C5" s="114"/>
      <c r="D5" s="114"/>
      <c r="E5" s="114" t="s">
        <v>235</v>
      </c>
      <c r="F5" s="115">
        <f>F7+F15+F25+F31+F41+F48+F54+F62+F69+F80+F86+F97+F108</f>
        <v>3693418.16</v>
      </c>
      <c r="G5" s="115">
        <f t="shared" ref="G5:AF5" si="0">G7+G15+G25+G31+G41+G48+G54+G62+G69+G80+G86+G97+G108</f>
        <v>66180704.769999996</v>
      </c>
      <c r="H5" s="115">
        <f t="shared" si="0"/>
        <v>273475.06</v>
      </c>
      <c r="I5" s="115">
        <f t="shared" si="0"/>
        <v>15855353.41</v>
      </c>
      <c r="J5" s="115">
        <f t="shared" si="0"/>
        <v>1842352.2</v>
      </c>
      <c r="K5" s="115">
        <f t="shared" si="0"/>
        <v>3386960.27</v>
      </c>
      <c r="L5" s="115">
        <f t="shared" si="0"/>
        <v>882451.90999999992</v>
      </c>
      <c r="M5" s="115">
        <f t="shared" si="0"/>
        <v>4890786.5699999994</v>
      </c>
      <c r="N5" s="115">
        <f t="shared" si="0"/>
        <v>84342.56</v>
      </c>
      <c r="O5" s="115">
        <f t="shared" si="0"/>
        <v>252969.53</v>
      </c>
      <c r="P5" s="115">
        <f t="shared" si="0"/>
        <v>12605681.950000001</v>
      </c>
      <c r="Q5" s="115">
        <f t="shared" si="0"/>
        <v>87099.05</v>
      </c>
      <c r="R5" s="115">
        <f t="shared" si="0"/>
        <v>25686.04</v>
      </c>
      <c r="S5" s="115">
        <f t="shared" si="0"/>
        <v>40062.01</v>
      </c>
      <c r="T5" s="115">
        <f t="shared" si="0"/>
        <v>5238.6499999999996</v>
      </c>
      <c r="U5" s="115">
        <f t="shared" si="0"/>
        <v>1629123.5100000002</v>
      </c>
      <c r="V5" s="115">
        <f t="shared" si="0"/>
        <v>3274922.7800000003</v>
      </c>
      <c r="W5" s="115">
        <f t="shared" si="0"/>
        <v>1378439.6600000001</v>
      </c>
      <c r="X5" s="115">
        <f t="shared" si="0"/>
        <v>32684.899999999998</v>
      </c>
      <c r="Y5" s="115">
        <f t="shared" si="0"/>
        <v>3914266.75</v>
      </c>
      <c r="Z5" s="115">
        <f t="shared" si="0"/>
        <v>22752726.369999997</v>
      </c>
      <c r="AA5" s="115">
        <f t="shared" si="0"/>
        <v>2230784.61</v>
      </c>
      <c r="AB5" s="115">
        <f t="shared" si="0"/>
        <v>7121545.0899999999</v>
      </c>
      <c r="AC5" s="115">
        <f t="shared" si="0"/>
        <v>302346.57</v>
      </c>
      <c r="AD5" s="115">
        <f t="shared" si="0"/>
        <v>154800.25</v>
      </c>
      <c r="AE5" s="115">
        <f t="shared" si="0"/>
        <v>8180039.8099999996</v>
      </c>
      <c r="AF5" s="115">
        <f t="shared" si="0"/>
        <v>953671.53</v>
      </c>
      <c r="AG5" s="115">
        <f t="shared" ref="AG5:AG13" si="1">SUM(F5:AF5)</f>
        <v>162031933.97000003</v>
      </c>
      <c r="AH5" s="8">
        <v>2</v>
      </c>
    </row>
    <row r="6" spans="1:34" ht="15" x14ac:dyDescent="0.25">
      <c r="A6" s="16"/>
      <c r="B6" s="116">
        <v>10</v>
      </c>
      <c r="C6" s="116"/>
      <c r="D6" s="116"/>
      <c r="E6" s="116" t="s">
        <v>236</v>
      </c>
      <c r="F6" s="117">
        <f>F7+F15+F25+F31+F41+F48+F54+F62</f>
        <v>272632.82999999996</v>
      </c>
      <c r="G6" s="117">
        <f t="shared" ref="G6:AF6" si="2">G7+G15+G25+G31+G41+G48+G54+G62</f>
        <v>4501972.8099999996</v>
      </c>
      <c r="H6" s="117">
        <f t="shared" si="2"/>
        <v>273474.06</v>
      </c>
      <c r="I6" s="117">
        <f t="shared" si="2"/>
        <v>12267484.26</v>
      </c>
      <c r="J6" s="117">
        <f t="shared" si="2"/>
        <v>990697.72</v>
      </c>
      <c r="K6" s="117">
        <f t="shared" si="2"/>
        <v>97262.099999999991</v>
      </c>
      <c r="L6" s="117">
        <f t="shared" si="2"/>
        <v>512461.91</v>
      </c>
      <c r="M6" s="117">
        <f t="shared" si="2"/>
        <v>890591.99000000011</v>
      </c>
      <c r="N6" s="117">
        <f t="shared" si="2"/>
        <v>84342.56</v>
      </c>
      <c r="O6" s="117">
        <f t="shared" si="2"/>
        <v>252969.53</v>
      </c>
      <c r="P6" s="117">
        <f t="shared" si="2"/>
        <v>10220881.9</v>
      </c>
      <c r="Q6" s="117">
        <f t="shared" si="2"/>
        <v>58599.05</v>
      </c>
      <c r="R6" s="117">
        <f t="shared" si="2"/>
        <v>6486.04</v>
      </c>
      <c r="S6" s="117">
        <f t="shared" si="2"/>
        <v>37862.01</v>
      </c>
      <c r="T6" s="117">
        <f t="shared" si="2"/>
        <v>5238.6499999999996</v>
      </c>
      <c r="U6" s="117">
        <f t="shared" si="2"/>
        <v>1319407.1100000001</v>
      </c>
      <c r="V6" s="117">
        <f t="shared" si="2"/>
        <v>3274922.7800000003</v>
      </c>
      <c r="W6" s="117">
        <f t="shared" si="2"/>
        <v>10435.620000000001</v>
      </c>
      <c r="X6" s="117">
        <f t="shared" si="2"/>
        <v>32684.899999999998</v>
      </c>
      <c r="Y6" s="117">
        <f t="shared" si="2"/>
        <v>3407044.75</v>
      </c>
      <c r="Z6" s="117">
        <f t="shared" si="2"/>
        <v>2676361.59</v>
      </c>
      <c r="AA6" s="117">
        <f t="shared" si="2"/>
        <v>449280.11</v>
      </c>
      <c r="AB6" s="117">
        <f t="shared" si="2"/>
        <v>3039652.1300000004</v>
      </c>
      <c r="AC6" s="117">
        <f t="shared" si="2"/>
        <v>302346.57</v>
      </c>
      <c r="AD6" s="117">
        <f t="shared" si="2"/>
        <v>154800.25</v>
      </c>
      <c r="AE6" s="117">
        <f t="shared" si="2"/>
        <v>653060.01000000013</v>
      </c>
      <c r="AF6" s="117">
        <f t="shared" si="2"/>
        <v>950291.53</v>
      </c>
      <c r="AG6" s="117">
        <f t="shared" si="1"/>
        <v>46743244.770000003</v>
      </c>
      <c r="AH6" s="8">
        <v>3</v>
      </c>
    </row>
    <row r="7" spans="1:34" ht="15" x14ac:dyDescent="0.25">
      <c r="A7" s="17"/>
      <c r="B7" s="17"/>
      <c r="C7" s="85">
        <v>100</v>
      </c>
      <c r="D7" s="85"/>
      <c r="E7" s="85" t="s">
        <v>237</v>
      </c>
      <c r="F7" s="107">
        <f>F8+F9+F10+F11+F12+F13</f>
        <v>156204.19</v>
      </c>
      <c r="G7" s="107">
        <f t="shared" ref="G7:AF7" si="3">G8+G9+G10+G11+G12+G13</f>
        <v>1556567.5599999998</v>
      </c>
      <c r="H7" s="107">
        <f t="shared" si="3"/>
        <v>272113.94</v>
      </c>
      <c r="I7" s="107">
        <f t="shared" si="3"/>
        <v>9129505.7200000007</v>
      </c>
      <c r="J7" s="107">
        <f t="shared" si="3"/>
        <v>875001.57</v>
      </c>
      <c r="K7" s="107">
        <f t="shared" si="3"/>
        <v>90958.05</v>
      </c>
      <c r="L7" s="107">
        <f t="shared" si="3"/>
        <v>100039.55</v>
      </c>
      <c r="M7" s="107">
        <f t="shared" si="3"/>
        <v>835711.81</v>
      </c>
      <c r="N7" s="107">
        <f t="shared" si="3"/>
        <v>18063.66</v>
      </c>
      <c r="O7" s="107">
        <f t="shared" si="3"/>
        <v>127349.2</v>
      </c>
      <c r="P7" s="107">
        <f t="shared" si="3"/>
        <v>1613200.7799999998</v>
      </c>
      <c r="Q7" s="107">
        <f t="shared" si="3"/>
        <v>36033.65</v>
      </c>
      <c r="R7" s="107">
        <f t="shared" si="3"/>
        <v>1083.68</v>
      </c>
      <c r="S7" s="107">
        <f t="shared" si="3"/>
        <v>31291.11</v>
      </c>
      <c r="T7" s="107">
        <f t="shared" si="3"/>
        <v>5238.6499999999996</v>
      </c>
      <c r="U7" s="107">
        <f t="shared" si="3"/>
        <v>699204.68</v>
      </c>
      <c r="V7" s="107">
        <f t="shared" si="3"/>
        <v>320146.21999999997</v>
      </c>
      <c r="W7" s="107">
        <f t="shared" si="3"/>
        <v>0</v>
      </c>
      <c r="X7" s="107">
        <f t="shared" si="3"/>
        <v>29866.1</v>
      </c>
      <c r="Y7" s="107">
        <f t="shared" si="3"/>
        <v>2439187.8199999998</v>
      </c>
      <c r="Z7" s="107">
        <f t="shared" si="3"/>
        <v>1694505.3900000001</v>
      </c>
      <c r="AA7" s="107">
        <f t="shared" si="3"/>
        <v>304397.27</v>
      </c>
      <c r="AB7" s="107">
        <f t="shared" si="3"/>
        <v>2876729.93</v>
      </c>
      <c r="AC7" s="107">
        <f t="shared" si="3"/>
        <v>290006.62</v>
      </c>
      <c r="AD7" s="107">
        <f t="shared" si="3"/>
        <v>123165.22</v>
      </c>
      <c r="AE7" s="107">
        <f t="shared" si="3"/>
        <v>441056.31000000006</v>
      </c>
      <c r="AF7" s="107">
        <f t="shared" si="3"/>
        <v>643363.51</v>
      </c>
      <c r="AG7" s="107">
        <f t="shared" si="1"/>
        <v>24709992.190000001</v>
      </c>
      <c r="AH7" s="8">
        <v>4</v>
      </c>
    </row>
    <row r="8" spans="1:34" ht="15" x14ac:dyDescent="0.25">
      <c r="D8" s="8">
        <v>1000</v>
      </c>
      <c r="E8" s="8" t="s">
        <v>307</v>
      </c>
      <c r="F8" s="13">
        <v>0</v>
      </c>
      <c r="G8" s="13">
        <v>2.15</v>
      </c>
      <c r="H8" s="13">
        <v>0</v>
      </c>
      <c r="I8" s="13">
        <v>1868.65</v>
      </c>
      <c r="J8" s="13">
        <v>0</v>
      </c>
      <c r="K8" s="13">
        <v>1474.85</v>
      </c>
      <c r="L8" s="13">
        <v>795</v>
      </c>
      <c r="M8" s="13">
        <v>0</v>
      </c>
      <c r="N8" s="13">
        <v>510.4</v>
      </c>
      <c r="O8" s="13">
        <v>0</v>
      </c>
      <c r="P8" s="13">
        <v>313.89999999999998</v>
      </c>
      <c r="Q8" s="13">
        <v>20</v>
      </c>
      <c r="R8" s="13">
        <v>0</v>
      </c>
      <c r="S8" s="13">
        <v>22.95</v>
      </c>
      <c r="T8" s="13">
        <v>0</v>
      </c>
      <c r="U8" s="13">
        <v>0</v>
      </c>
      <c r="V8" s="13">
        <v>1805.05</v>
      </c>
      <c r="W8" s="13">
        <v>0</v>
      </c>
      <c r="X8" s="13">
        <v>0</v>
      </c>
      <c r="Y8" s="13">
        <v>0</v>
      </c>
      <c r="Z8" s="13">
        <v>479.3</v>
      </c>
      <c r="AA8" s="13">
        <v>583.20000000000005</v>
      </c>
      <c r="AB8" s="13">
        <v>0</v>
      </c>
      <c r="AC8" s="13">
        <v>181.2</v>
      </c>
      <c r="AD8" s="13">
        <v>96.15</v>
      </c>
      <c r="AE8" s="13">
        <v>922.35</v>
      </c>
      <c r="AF8" s="13">
        <v>20.85</v>
      </c>
      <c r="AG8" s="95">
        <f t="shared" si="1"/>
        <v>9095.9999999999982</v>
      </c>
      <c r="AH8" s="8">
        <v>5</v>
      </c>
    </row>
    <row r="9" spans="1:34" ht="15" x14ac:dyDescent="0.25">
      <c r="D9" s="8">
        <v>1001</v>
      </c>
      <c r="E9" s="8" t="s">
        <v>308</v>
      </c>
      <c r="F9" s="13">
        <v>0</v>
      </c>
      <c r="G9" s="13">
        <v>0</v>
      </c>
      <c r="H9" s="13">
        <v>0</v>
      </c>
      <c r="I9" s="13">
        <v>227717.36</v>
      </c>
      <c r="J9" s="13">
        <v>0</v>
      </c>
      <c r="K9" s="13">
        <v>400</v>
      </c>
      <c r="L9" s="13">
        <v>36847.5</v>
      </c>
      <c r="M9" s="13">
        <v>0</v>
      </c>
      <c r="N9" s="13">
        <v>0</v>
      </c>
      <c r="O9" s="13">
        <v>0</v>
      </c>
      <c r="P9" s="13">
        <v>530649.99</v>
      </c>
      <c r="Q9" s="13">
        <v>31927.919999999998</v>
      </c>
      <c r="R9" s="13">
        <v>0</v>
      </c>
      <c r="S9" s="13">
        <v>31268.16</v>
      </c>
      <c r="T9" s="13">
        <v>0</v>
      </c>
      <c r="U9" s="13">
        <v>0</v>
      </c>
      <c r="V9" s="13">
        <v>0</v>
      </c>
      <c r="W9" s="13">
        <v>0</v>
      </c>
      <c r="X9" s="13">
        <v>0</v>
      </c>
      <c r="Y9" s="13">
        <v>7333.96</v>
      </c>
      <c r="Z9" s="13">
        <v>43580</v>
      </c>
      <c r="AA9" s="13">
        <v>0</v>
      </c>
      <c r="AB9" s="13">
        <v>0</v>
      </c>
      <c r="AC9" s="13">
        <v>0</v>
      </c>
      <c r="AD9" s="13">
        <v>0</v>
      </c>
      <c r="AE9" s="13">
        <v>108467.57</v>
      </c>
      <c r="AF9" s="13">
        <v>0</v>
      </c>
      <c r="AG9" s="95">
        <f t="shared" si="1"/>
        <v>1018192.46</v>
      </c>
      <c r="AH9" s="8">
        <v>6</v>
      </c>
    </row>
    <row r="10" spans="1:34" ht="15" x14ac:dyDescent="0.25">
      <c r="D10" s="8">
        <v>1002</v>
      </c>
      <c r="E10" s="8" t="s">
        <v>316</v>
      </c>
      <c r="F10" s="13">
        <v>156204.19</v>
      </c>
      <c r="G10" s="13">
        <v>1556565.41</v>
      </c>
      <c r="H10" s="13">
        <v>272113.94</v>
      </c>
      <c r="I10" s="13">
        <v>8899919.7100000009</v>
      </c>
      <c r="J10" s="13">
        <v>875001.57</v>
      </c>
      <c r="K10" s="13">
        <v>89083.199999999997</v>
      </c>
      <c r="L10" s="13">
        <v>62397.05</v>
      </c>
      <c r="M10" s="13">
        <v>835711.81</v>
      </c>
      <c r="N10" s="13">
        <v>17553.259999999998</v>
      </c>
      <c r="O10" s="13">
        <v>127349.2</v>
      </c>
      <c r="P10" s="13">
        <v>1082236.8899999999</v>
      </c>
      <c r="Q10" s="13">
        <v>4085.73</v>
      </c>
      <c r="R10" s="13">
        <v>1083.68</v>
      </c>
      <c r="S10" s="13">
        <v>0</v>
      </c>
      <c r="T10" s="13">
        <v>5238.6499999999996</v>
      </c>
      <c r="U10" s="13">
        <v>699204.68</v>
      </c>
      <c r="V10" s="13">
        <v>318341.17</v>
      </c>
      <c r="W10" s="13">
        <v>0</v>
      </c>
      <c r="X10" s="13">
        <v>29866.1</v>
      </c>
      <c r="Y10" s="13">
        <v>2431853.86</v>
      </c>
      <c r="Z10" s="13">
        <v>1650446.09</v>
      </c>
      <c r="AA10" s="13">
        <v>303814.07</v>
      </c>
      <c r="AB10" s="13">
        <v>2876729.93</v>
      </c>
      <c r="AC10" s="13">
        <v>289825.42</v>
      </c>
      <c r="AD10" s="13">
        <v>123069.07</v>
      </c>
      <c r="AE10" s="13">
        <v>303598.99</v>
      </c>
      <c r="AF10" s="13">
        <v>643342.66</v>
      </c>
      <c r="AG10" s="95">
        <f t="shared" si="1"/>
        <v>23654636.330000002</v>
      </c>
      <c r="AH10" s="8">
        <v>7</v>
      </c>
    </row>
    <row r="11" spans="1:34" ht="15" x14ac:dyDescent="0.25">
      <c r="D11" s="8">
        <v>1003</v>
      </c>
      <c r="E11" s="8" t="s">
        <v>309</v>
      </c>
      <c r="F11" s="13">
        <v>0</v>
      </c>
      <c r="G11" s="13">
        <v>0</v>
      </c>
      <c r="H11" s="13">
        <v>0</v>
      </c>
      <c r="I11" s="13">
        <v>0</v>
      </c>
      <c r="J11" s="13">
        <v>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28067.4</v>
      </c>
      <c r="AF11" s="13">
        <v>0</v>
      </c>
      <c r="AG11" s="95">
        <f t="shared" si="1"/>
        <v>28067.4</v>
      </c>
      <c r="AH11" s="8">
        <v>8</v>
      </c>
    </row>
    <row r="12" spans="1:34"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95">
        <f t="shared" si="1"/>
        <v>0</v>
      </c>
      <c r="AH12" s="8">
        <v>9</v>
      </c>
    </row>
    <row r="13" spans="1:34"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95">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5"/>
      <c r="AH14" s="8">
        <v>11</v>
      </c>
    </row>
    <row r="15" spans="1:34" ht="15" x14ac:dyDescent="0.25">
      <c r="A15" s="17"/>
      <c r="B15" s="17"/>
      <c r="C15" s="85">
        <v>101</v>
      </c>
      <c r="D15" s="85"/>
      <c r="E15" s="85" t="s">
        <v>238</v>
      </c>
      <c r="F15" s="107">
        <f>F16+F17+F18+F19+F20+F21+F22+F23</f>
        <v>0</v>
      </c>
      <c r="G15" s="107">
        <f t="shared" ref="G15:AF15" si="4">G16+G17+G18+G19+G20+G21+G22+G23</f>
        <v>214689.22</v>
      </c>
      <c r="H15" s="107">
        <f t="shared" si="4"/>
        <v>1057</v>
      </c>
      <c r="I15" s="107">
        <f t="shared" si="4"/>
        <v>2247252.09</v>
      </c>
      <c r="J15" s="107">
        <f t="shared" si="4"/>
        <v>115696.15</v>
      </c>
      <c r="K15" s="107">
        <f t="shared" si="4"/>
        <v>0.4</v>
      </c>
      <c r="L15" s="107">
        <f t="shared" si="4"/>
        <v>0.01</v>
      </c>
      <c r="M15" s="107">
        <f t="shared" si="4"/>
        <v>34880.18</v>
      </c>
      <c r="N15" s="107">
        <f t="shared" si="4"/>
        <v>0</v>
      </c>
      <c r="O15" s="107">
        <f t="shared" si="4"/>
        <v>70640.33</v>
      </c>
      <c r="P15" s="107">
        <f t="shared" si="4"/>
        <v>268419.96999999997</v>
      </c>
      <c r="Q15" s="107">
        <f t="shared" si="4"/>
        <v>22565.4</v>
      </c>
      <c r="R15" s="107">
        <f t="shared" si="4"/>
        <v>5402.36</v>
      </c>
      <c r="S15" s="107">
        <f t="shared" si="4"/>
        <v>5720</v>
      </c>
      <c r="T15" s="107">
        <f t="shared" si="4"/>
        <v>0</v>
      </c>
      <c r="U15" s="107">
        <f t="shared" si="4"/>
        <v>143262.93</v>
      </c>
      <c r="V15" s="107">
        <f t="shared" si="4"/>
        <v>19913.460000000003</v>
      </c>
      <c r="W15" s="107">
        <f t="shared" si="4"/>
        <v>10435.620000000001</v>
      </c>
      <c r="X15" s="107">
        <f t="shared" si="4"/>
        <v>2818.8</v>
      </c>
      <c r="Y15" s="107">
        <f t="shared" si="4"/>
        <v>401694.58</v>
      </c>
      <c r="Z15" s="107">
        <f t="shared" si="4"/>
        <v>614861.82000000007</v>
      </c>
      <c r="AA15" s="107">
        <f t="shared" si="4"/>
        <v>1.75</v>
      </c>
      <c r="AB15" s="107">
        <f t="shared" si="4"/>
        <v>153412.56</v>
      </c>
      <c r="AC15" s="107">
        <f t="shared" si="4"/>
        <v>11498.5</v>
      </c>
      <c r="AD15" s="107">
        <f t="shared" si="4"/>
        <v>30948.58</v>
      </c>
      <c r="AE15" s="107">
        <f t="shared" si="4"/>
        <v>140367.4</v>
      </c>
      <c r="AF15" s="107">
        <f t="shared" si="4"/>
        <v>213602.37000000002</v>
      </c>
      <c r="AG15" s="107">
        <f t="shared" ref="AG15:AG23" si="5">SUM(F15:AF15)</f>
        <v>4729141.4799999995</v>
      </c>
      <c r="AH15" s="8">
        <v>12</v>
      </c>
    </row>
    <row r="16" spans="1:34" ht="15" x14ac:dyDescent="0.25">
      <c r="D16" s="8">
        <v>1010</v>
      </c>
      <c r="E16" s="8" t="s">
        <v>808</v>
      </c>
      <c r="F16" s="13">
        <v>0</v>
      </c>
      <c r="G16" s="13">
        <v>212030</v>
      </c>
      <c r="H16" s="13">
        <v>1057</v>
      </c>
      <c r="I16" s="13">
        <v>2237593.98</v>
      </c>
      <c r="J16" s="13">
        <v>115696.15</v>
      </c>
      <c r="K16" s="13">
        <v>0</v>
      </c>
      <c r="L16" s="13">
        <v>0</v>
      </c>
      <c r="M16" s="13">
        <v>33970.550000000003</v>
      </c>
      <c r="N16" s="13">
        <v>0</v>
      </c>
      <c r="O16" s="13">
        <v>70640.33</v>
      </c>
      <c r="P16" s="13">
        <v>254658.5</v>
      </c>
      <c r="Q16" s="13">
        <v>22565.4</v>
      </c>
      <c r="R16" s="13">
        <v>0</v>
      </c>
      <c r="S16" s="13">
        <v>5720</v>
      </c>
      <c r="T16" s="13">
        <v>0</v>
      </c>
      <c r="U16" s="13">
        <v>5134.95</v>
      </c>
      <c r="V16" s="13">
        <v>19838.650000000001</v>
      </c>
      <c r="W16" s="13">
        <v>0</v>
      </c>
      <c r="X16" s="13">
        <v>2818.8</v>
      </c>
      <c r="Y16" s="13">
        <v>395132.65</v>
      </c>
      <c r="Z16" s="13">
        <v>482136.75</v>
      </c>
      <c r="AA16" s="13">
        <v>0</v>
      </c>
      <c r="AB16" s="13">
        <v>90609.4</v>
      </c>
      <c r="AC16" s="13">
        <v>11498.5</v>
      </c>
      <c r="AD16" s="13">
        <v>30948.58</v>
      </c>
      <c r="AE16" s="13">
        <v>140367.4</v>
      </c>
      <c r="AF16" s="13">
        <v>209661.85</v>
      </c>
      <c r="AG16" s="95">
        <f t="shared" si="5"/>
        <v>4342079.4399999995</v>
      </c>
      <c r="AH16" s="8">
        <v>13</v>
      </c>
    </row>
    <row r="17" spans="3:34" ht="15" x14ac:dyDescent="0.25">
      <c r="D17" s="8">
        <v>1011</v>
      </c>
      <c r="E17" s="8" t="s">
        <v>393</v>
      </c>
      <c r="F17" s="13">
        <v>0</v>
      </c>
      <c r="G17" s="13">
        <v>0</v>
      </c>
      <c r="H17" s="13">
        <v>0</v>
      </c>
      <c r="I17" s="13">
        <v>0</v>
      </c>
      <c r="J17" s="13">
        <v>0</v>
      </c>
      <c r="K17" s="13">
        <v>0</v>
      </c>
      <c r="L17" s="13">
        <v>0</v>
      </c>
      <c r="M17" s="13">
        <v>0</v>
      </c>
      <c r="N17" s="13">
        <v>0</v>
      </c>
      <c r="O17" s="13">
        <v>0</v>
      </c>
      <c r="P17" s="13">
        <v>0</v>
      </c>
      <c r="Q17" s="13">
        <v>0</v>
      </c>
      <c r="R17" s="13">
        <v>5402.36</v>
      </c>
      <c r="S17" s="13">
        <v>0</v>
      </c>
      <c r="T17" s="13">
        <v>0</v>
      </c>
      <c r="U17" s="13">
        <v>102073</v>
      </c>
      <c r="V17" s="13">
        <v>0</v>
      </c>
      <c r="W17" s="13">
        <v>10435.620000000001</v>
      </c>
      <c r="X17" s="13">
        <v>0</v>
      </c>
      <c r="Y17" s="13">
        <v>0</v>
      </c>
      <c r="Z17" s="13">
        <v>0</v>
      </c>
      <c r="AA17" s="13">
        <v>0</v>
      </c>
      <c r="AB17" s="13">
        <v>0</v>
      </c>
      <c r="AC17" s="13">
        <v>0</v>
      </c>
      <c r="AD17" s="13">
        <v>0</v>
      </c>
      <c r="AE17" s="13">
        <v>0</v>
      </c>
      <c r="AF17" s="13">
        <v>247.92</v>
      </c>
      <c r="AG17" s="95">
        <f t="shared" si="5"/>
        <v>118158.9</v>
      </c>
      <c r="AH17" s="8">
        <v>14</v>
      </c>
    </row>
    <row r="18" spans="3:34"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13">
        <v>0</v>
      </c>
      <c r="T18" s="13">
        <v>0</v>
      </c>
      <c r="U18" s="13">
        <v>0</v>
      </c>
      <c r="V18" s="13">
        <v>0</v>
      </c>
      <c r="W18" s="13">
        <v>0</v>
      </c>
      <c r="X18" s="13">
        <v>0</v>
      </c>
      <c r="Y18" s="13">
        <v>0</v>
      </c>
      <c r="Z18" s="13">
        <v>0</v>
      </c>
      <c r="AA18" s="13">
        <v>0</v>
      </c>
      <c r="AB18" s="13">
        <v>0</v>
      </c>
      <c r="AC18" s="13">
        <v>0</v>
      </c>
      <c r="AD18" s="13">
        <v>0</v>
      </c>
      <c r="AE18" s="13">
        <v>0</v>
      </c>
      <c r="AF18" s="13">
        <v>0</v>
      </c>
      <c r="AG18" s="95">
        <f t="shared" si="5"/>
        <v>0</v>
      </c>
      <c r="AH18" s="8">
        <v>15</v>
      </c>
    </row>
    <row r="19" spans="3:34"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132725.07</v>
      </c>
      <c r="AA19" s="13">
        <v>0</v>
      </c>
      <c r="AB19" s="13">
        <v>0</v>
      </c>
      <c r="AC19" s="13">
        <v>0</v>
      </c>
      <c r="AD19" s="13">
        <v>0</v>
      </c>
      <c r="AE19" s="13">
        <v>0</v>
      </c>
      <c r="AF19" s="13">
        <v>0</v>
      </c>
      <c r="AG19" s="95">
        <f t="shared" si="5"/>
        <v>132725.07</v>
      </c>
      <c r="AH19" s="8">
        <v>16</v>
      </c>
    </row>
    <row r="20" spans="3:34"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22218.38</v>
      </c>
      <c r="V20" s="13">
        <v>0</v>
      </c>
      <c r="W20" s="13">
        <v>0</v>
      </c>
      <c r="X20" s="13">
        <v>0</v>
      </c>
      <c r="Y20" s="13">
        <v>0</v>
      </c>
      <c r="Z20" s="13">
        <v>0</v>
      </c>
      <c r="AA20" s="13">
        <v>0</v>
      </c>
      <c r="AB20" s="13">
        <v>0</v>
      </c>
      <c r="AC20" s="13">
        <v>0</v>
      </c>
      <c r="AD20" s="13">
        <v>0</v>
      </c>
      <c r="AE20" s="13">
        <v>0</v>
      </c>
      <c r="AF20" s="13">
        <v>0</v>
      </c>
      <c r="AG20" s="95">
        <f t="shared" si="5"/>
        <v>22218.38</v>
      </c>
      <c r="AH20" s="8">
        <v>17</v>
      </c>
    </row>
    <row r="21" spans="3:34"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13">
        <v>0</v>
      </c>
      <c r="T21" s="13">
        <v>0</v>
      </c>
      <c r="U21" s="13">
        <v>0</v>
      </c>
      <c r="V21" s="13">
        <v>0</v>
      </c>
      <c r="W21" s="13">
        <v>0</v>
      </c>
      <c r="X21" s="13">
        <v>0</v>
      </c>
      <c r="Y21" s="13">
        <v>0</v>
      </c>
      <c r="Z21" s="13">
        <v>0</v>
      </c>
      <c r="AA21" s="13">
        <v>0</v>
      </c>
      <c r="AB21" s="13">
        <v>0</v>
      </c>
      <c r="AC21" s="13">
        <v>0</v>
      </c>
      <c r="AD21" s="13">
        <v>0</v>
      </c>
      <c r="AE21" s="13">
        <v>0</v>
      </c>
      <c r="AF21" s="13">
        <v>0</v>
      </c>
      <c r="AG21" s="95">
        <f t="shared" si="5"/>
        <v>0</v>
      </c>
      <c r="AH21" s="8">
        <v>18</v>
      </c>
    </row>
    <row r="22" spans="3:34"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0</v>
      </c>
      <c r="AF22" s="13">
        <v>0</v>
      </c>
      <c r="AG22" s="95">
        <f t="shared" si="5"/>
        <v>0</v>
      </c>
      <c r="AH22" s="8">
        <v>19</v>
      </c>
    </row>
    <row r="23" spans="3:34" ht="15" x14ac:dyDescent="0.25">
      <c r="D23" s="8">
        <v>1019</v>
      </c>
      <c r="E23" s="8" t="s">
        <v>319</v>
      </c>
      <c r="F23" s="13">
        <v>0</v>
      </c>
      <c r="G23" s="13">
        <v>2659.22</v>
      </c>
      <c r="H23" s="13">
        <v>0</v>
      </c>
      <c r="I23" s="13">
        <v>9658.11</v>
      </c>
      <c r="J23" s="13">
        <v>0</v>
      </c>
      <c r="K23" s="13">
        <v>0.4</v>
      </c>
      <c r="L23" s="13">
        <v>0.01</v>
      </c>
      <c r="M23" s="13">
        <v>909.63</v>
      </c>
      <c r="N23" s="13">
        <v>0</v>
      </c>
      <c r="O23" s="13">
        <v>0</v>
      </c>
      <c r="P23" s="13">
        <v>13761.47</v>
      </c>
      <c r="Q23" s="13">
        <v>0</v>
      </c>
      <c r="R23" s="13">
        <v>0</v>
      </c>
      <c r="S23" s="13">
        <v>0</v>
      </c>
      <c r="T23" s="13">
        <v>0</v>
      </c>
      <c r="U23" s="13">
        <v>13836.6</v>
      </c>
      <c r="V23" s="13">
        <v>74.81</v>
      </c>
      <c r="W23" s="13">
        <v>0</v>
      </c>
      <c r="X23" s="13">
        <v>0</v>
      </c>
      <c r="Y23" s="13">
        <v>6561.93</v>
      </c>
      <c r="Z23" s="13">
        <v>0</v>
      </c>
      <c r="AA23" s="13">
        <v>1.75</v>
      </c>
      <c r="AB23" s="13">
        <v>62803.16</v>
      </c>
      <c r="AC23" s="13">
        <v>0</v>
      </c>
      <c r="AD23" s="13">
        <v>0</v>
      </c>
      <c r="AE23" s="13">
        <v>0</v>
      </c>
      <c r="AF23" s="13">
        <v>3692.6</v>
      </c>
      <c r="AG23" s="95">
        <f t="shared" si="5"/>
        <v>113959.69</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5"/>
      <c r="AH24" s="8">
        <v>21</v>
      </c>
    </row>
    <row r="25" spans="3:34" ht="15" x14ac:dyDescent="0.25">
      <c r="C25" s="85">
        <v>102</v>
      </c>
      <c r="D25" s="85"/>
      <c r="E25" s="85" t="s">
        <v>239</v>
      </c>
      <c r="F25" s="107">
        <f>F26+F27+F28+F29</f>
        <v>0</v>
      </c>
      <c r="G25" s="107">
        <f t="shared" ref="G25:AF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0</v>
      </c>
      <c r="S25" s="107">
        <f t="shared" si="6"/>
        <v>0</v>
      </c>
      <c r="T25" s="107">
        <f t="shared" si="6"/>
        <v>0</v>
      </c>
      <c r="U25" s="107">
        <f t="shared" si="6"/>
        <v>0</v>
      </c>
      <c r="V25" s="107">
        <f t="shared" si="6"/>
        <v>0</v>
      </c>
      <c r="W25" s="107">
        <f t="shared" si="6"/>
        <v>0</v>
      </c>
      <c r="X25" s="107">
        <f t="shared" si="6"/>
        <v>0</v>
      </c>
      <c r="Y25" s="107">
        <f t="shared" si="6"/>
        <v>282000</v>
      </c>
      <c r="Z25" s="107">
        <f t="shared" si="6"/>
        <v>0</v>
      </c>
      <c r="AA25" s="107">
        <f t="shared" si="6"/>
        <v>0</v>
      </c>
      <c r="AB25" s="107">
        <f t="shared" si="6"/>
        <v>0</v>
      </c>
      <c r="AC25" s="107">
        <f t="shared" si="6"/>
        <v>0</v>
      </c>
      <c r="AD25" s="107">
        <f t="shared" si="6"/>
        <v>0</v>
      </c>
      <c r="AE25" s="107">
        <f t="shared" si="6"/>
        <v>0</v>
      </c>
      <c r="AF25" s="107">
        <f t="shared" si="6"/>
        <v>0</v>
      </c>
      <c r="AG25" s="107">
        <f t="shared" ref="AG25:AG29" si="7">SUM(F25:AF25)</f>
        <v>282000</v>
      </c>
      <c r="AH25" s="8">
        <v>22</v>
      </c>
    </row>
    <row r="26" spans="3:34"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282000</v>
      </c>
      <c r="Z26" s="13">
        <v>0</v>
      </c>
      <c r="AA26" s="13">
        <v>0</v>
      </c>
      <c r="AB26" s="13">
        <v>0</v>
      </c>
      <c r="AC26" s="13">
        <v>0</v>
      </c>
      <c r="AD26" s="13">
        <v>0</v>
      </c>
      <c r="AE26" s="13">
        <v>0</v>
      </c>
      <c r="AF26" s="13">
        <v>0</v>
      </c>
      <c r="AG26" s="95">
        <f t="shared" si="7"/>
        <v>282000</v>
      </c>
      <c r="AH26" s="8">
        <v>23</v>
      </c>
    </row>
    <row r="27" spans="3:34"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95">
        <f t="shared" si="7"/>
        <v>0</v>
      </c>
      <c r="AH27" s="8">
        <v>24</v>
      </c>
    </row>
    <row r="28" spans="3:34"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95">
        <f t="shared" si="7"/>
        <v>0</v>
      </c>
      <c r="AH28" s="8">
        <v>25</v>
      </c>
    </row>
    <row r="29" spans="3:34"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95">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5"/>
      <c r="AH30" s="8">
        <v>27</v>
      </c>
    </row>
    <row r="31" spans="3:34" ht="15" x14ac:dyDescent="0.25">
      <c r="C31" s="85">
        <v>104</v>
      </c>
      <c r="D31" s="85"/>
      <c r="E31" s="85" t="s">
        <v>240</v>
      </c>
      <c r="F31" s="107">
        <f>F32+F33+F34+F35+F36+F37+F38+F39</f>
        <v>116228.63999999998</v>
      </c>
      <c r="G31" s="107">
        <f t="shared" ref="G31:AF31" si="8">G32+G33+G34+G35+G36+G37+G38+G39</f>
        <v>546716.03</v>
      </c>
      <c r="H31" s="107">
        <f t="shared" si="8"/>
        <v>302.12</v>
      </c>
      <c r="I31" s="107">
        <f t="shared" si="8"/>
        <v>90726.45</v>
      </c>
      <c r="J31" s="107">
        <f t="shared" si="8"/>
        <v>0</v>
      </c>
      <c r="K31" s="107">
        <f t="shared" si="8"/>
        <v>6303.65</v>
      </c>
      <c r="L31" s="107">
        <f t="shared" si="8"/>
        <v>412422.35</v>
      </c>
      <c r="M31" s="107">
        <f t="shared" si="8"/>
        <v>0</v>
      </c>
      <c r="N31" s="107">
        <f t="shared" si="8"/>
        <v>66278.899999999994</v>
      </c>
      <c r="O31" s="107">
        <f t="shared" si="8"/>
        <v>54980</v>
      </c>
      <c r="P31" s="107">
        <f t="shared" si="8"/>
        <v>38991.15</v>
      </c>
      <c r="Q31" s="107">
        <f t="shared" si="8"/>
        <v>0</v>
      </c>
      <c r="R31" s="107">
        <f t="shared" si="8"/>
        <v>0</v>
      </c>
      <c r="S31" s="107">
        <f t="shared" si="8"/>
        <v>850.9</v>
      </c>
      <c r="T31" s="107">
        <f t="shared" si="8"/>
        <v>0</v>
      </c>
      <c r="U31" s="107">
        <f t="shared" si="8"/>
        <v>28830.300000000003</v>
      </c>
      <c r="V31" s="107">
        <f t="shared" si="8"/>
        <v>0</v>
      </c>
      <c r="W31" s="107">
        <f t="shared" si="8"/>
        <v>0</v>
      </c>
      <c r="X31" s="107">
        <f t="shared" si="8"/>
        <v>0</v>
      </c>
      <c r="Y31" s="107">
        <f t="shared" si="8"/>
        <v>4162.3500000000004</v>
      </c>
      <c r="Z31" s="107">
        <f t="shared" si="8"/>
        <v>109384.38</v>
      </c>
      <c r="AA31" s="107">
        <f t="shared" si="8"/>
        <v>144881.09</v>
      </c>
      <c r="AB31" s="107">
        <f t="shared" si="8"/>
        <v>9509.64</v>
      </c>
      <c r="AC31" s="107">
        <f t="shared" si="8"/>
        <v>841.45</v>
      </c>
      <c r="AD31" s="107">
        <f t="shared" si="8"/>
        <v>686.45</v>
      </c>
      <c r="AE31" s="107">
        <f t="shared" si="8"/>
        <v>71636.3</v>
      </c>
      <c r="AF31" s="107">
        <f t="shared" si="8"/>
        <v>93325.65</v>
      </c>
      <c r="AG31" s="107">
        <f t="shared" ref="AG31:AG39" si="9">SUM(F31:AF31)</f>
        <v>1797057.7999999996</v>
      </c>
      <c r="AH31" s="8">
        <v>28</v>
      </c>
    </row>
    <row r="32" spans="3:34" ht="15" x14ac:dyDescent="0.25">
      <c r="D32" s="8">
        <v>1040</v>
      </c>
      <c r="E32" s="8" t="s">
        <v>60</v>
      </c>
      <c r="F32" s="13">
        <v>7416.15</v>
      </c>
      <c r="G32" s="13">
        <v>0</v>
      </c>
      <c r="H32" s="13">
        <v>0</v>
      </c>
      <c r="I32" s="13">
        <v>0</v>
      </c>
      <c r="J32" s="13">
        <v>0</v>
      </c>
      <c r="K32" s="13">
        <v>0</v>
      </c>
      <c r="L32" s="13">
        <v>0</v>
      </c>
      <c r="M32" s="13">
        <v>0</v>
      </c>
      <c r="N32" s="13">
        <v>0</v>
      </c>
      <c r="O32" s="13">
        <v>0</v>
      </c>
      <c r="P32" s="13">
        <v>591.15</v>
      </c>
      <c r="Q32" s="13">
        <v>0</v>
      </c>
      <c r="R32" s="13">
        <v>0</v>
      </c>
      <c r="S32" s="13">
        <v>850.9</v>
      </c>
      <c r="T32" s="13">
        <v>0</v>
      </c>
      <c r="U32" s="13">
        <v>647.70000000000005</v>
      </c>
      <c r="V32" s="13">
        <v>0</v>
      </c>
      <c r="W32" s="13">
        <v>0</v>
      </c>
      <c r="X32" s="13">
        <v>0</v>
      </c>
      <c r="Y32" s="13">
        <v>0</v>
      </c>
      <c r="Z32" s="13">
        <v>0</v>
      </c>
      <c r="AA32" s="13">
        <v>0</v>
      </c>
      <c r="AB32" s="13">
        <v>0</v>
      </c>
      <c r="AC32" s="13">
        <v>0</v>
      </c>
      <c r="AD32" s="13">
        <v>0</v>
      </c>
      <c r="AE32" s="13">
        <v>0</v>
      </c>
      <c r="AF32" s="13">
        <v>0</v>
      </c>
      <c r="AG32" s="95">
        <f t="shared" si="9"/>
        <v>9505.9</v>
      </c>
      <c r="AH32" s="8">
        <v>29</v>
      </c>
    </row>
    <row r="33" spans="3:34" ht="15" x14ac:dyDescent="0.25">
      <c r="D33" s="8">
        <v>1041</v>
      </c>
      <c r="E33" s="8" t="s">
        <v>324</v>
      </c>
      <c r="F33" s="13">
        <v>10343.59</v>
      </c>
      <c r="G33" s="13">
        <v>81442.95</v>
      </c>
      <c r="H33" s="13">
        <v>0</v>
      </c>
      <c r="I33" s="13">
        <v>90726.45</v>
      </c>
      <c r="J33" s="13">
        <v>0</v>
      </c>
      <c r="K33" s="13">
        <v>1900</v>
      </c>
      <c r="L33" s="13">
        <v>0</v>
      </c>
      <c r="M33" s="13">
        <v>0</v>
      </c>
      <c r="N33" s="13">
        <v>66278.899999999994</v>
      </c>
      <c r="O33" s="13">
        <v>0</v>
      </c>
      <c r="P33" s="13">
        <v>0</v>
      </c>
      <c r="Q33" s="13">
        <v>0</v>
      </c>
      <c r="R33" s="13">
        <v>0</v>
      </c>
      <c r="S33" s="13">
        <v>0</v>
      </c>
      <c r="T33" s="13">
        <v>0</v>
      </c>
      <c r="U33" s="13">
        <v>0</v>
      </c>
      <c r="V33" s="13">
        <v>0</v>
      </c>
      <c r="W33" s="13">
        <v>0</v>
      </c>
      <c r="X33" s="13">
        <v>0</v>
      </c>
      <c r="Y33" s="13">
        <v>4162.3500000000004</v>
      </c>
      <c r="Z33" s="13">
        <v>109384.38</v>
      </c>
      <c r="AA33" s="13">
        <v>144881.09</v>
      </c>
      <c r="AB33" s="13">
        <v>9509.64</v>
      </c>
      <c r="AC33" s="13">
        <v>0</v>
      </c>
      <c r="AD33" s="13">
        <v>686.45</v>
      </c>
      <c r="AE33" s="13">
        <v>71636.3</v>
      </c>
      <c r="AF33" s="13">
        <v>93325.65</v>
      </c>
      <c r="AG33" s="95">
        <f t="shared" si="9"/>
        <v>684277.75</v>
      </c>
      <c r="AH33" s="8">
        <v>30</v>
      </c>
    </row>
    <row r="34" spans="3:34"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841.45</v>
      </c>
      <c r="AD34" s="13">
        <v>0</v>
      </c>
      <c r="AE34" s="13">
        <v>0</v>
      </c>
      <c r="AF34" s="13">
        <v>0</v>
      </c>
      <c r="AG34" s="95">
        <f t="shared" si="9"/>
        <v>841.45</v>
      </c>
      <c r="AH34" s="8">
        <v>31</v>
      </c>
    </row>
    <row r="35" spans="3:34" ht="15" x14ac:dyDescent="0.25">
      <c r="D35" s="8">
        <v>1043</v>
      </c>
      <c r="E35" s="8" t="s">
        <v>326</v>
      </c>
      <c r="F35" s="13">
        <v>0</v>
      </c>
      <c r="G35" s="13">
        <v>372877.28</v>
      </c>
      <c r="H35" s="13">
        <v>0</v>
      </c>
      <c r="I35" s="13">
        <v>0</v>
      </c>
      <c r="J35" s="13">
        <v>0</v>
      </c>
      <c r="K35" s="13">
        <v>0</v>
      </c>
      <c r="L35" s="13">
        <v>412422.35</v>
      </c>
      <c r="M35" s="13">
        <v>0</v>
      </c>
      <c r="N35" s="13">
        <v>0</v>
      </c>
      <c r="O35" s="13">
        <v>0</v>
      </c>
      <c r="P35" s="13">
        <v>0</v>
      </c>
      <c r="Q35" s="13">
        <v>0</v>
      </c>
      <c r="R35" s="13">
        <v>0</v>
      </c>
      <c r="S35" s="13">
        <v>0</v>
      </c>
      <c r="T35" s="13">
        <v>0</v>
      </c>
      <c r="U35" s="13">
        <v>24073.95</v>
      </c>
      <c r="V35" s="13">
        <v>0</v>
      </c>
      <c r="W35" s="13">
        <v>0</v>
      </c>
      <c r="X35" s="13">
        <v>0</v>
      </c>
      <c r="Y35" s="13">
        <v>0</v>
      </c>
      <c r="Z35" s="13">
        <v>0</v>
      </c>
      <c r="AA35" s="13">
        <v>0</v>
      </c>
      <c r="AB35" s="13">
        <v>0</v>
      </c>
      <c r="AC35" s="13">
        <v>0</v>
      </c>
      <c r="AD35" s="13">
        <v>0</v>
      </c>
      <c r="AE35" s="13">
        <v>0</v>
      </c>
      <c r="AF35" s="13">
        <v>0</v>
      </c>
      <c r="AG35" s="95">
        <f t="shared" si="9"/>
        <v>809373.58</v>
      </c>
      <c r="AH35" s="8">
        <v>32</v>
      </c>
    </row>
    <row r="36" spans="3:34" ht="15" x14ac:dyDescent="0.25">
      <c r="D36" s="8">
        <v>1044</v>
      </c>
      <c r="E36" s="8" t="s">
        <v>327</v>
      </c>
      <c r="F36" s="13">
        <v>98468.9</v>
      </c>
      <c r="G36" s="13">
        <v>15075</v>
      </c>
      <c r="H36" s="13">
        <v>0</v>
      </c>
      <c r="I36" s="13">
        <v>0</v>
      </c>
      <c r="J36" s="13">
        <v>0</v>
      </c>
      <c r="K36" s="13">
        <v>4403.6499999999996</v>
      </c>
      <c r="L36" s="13">
        <v>0</v>
      </c>
      <c r="M36" s="13">
        <v>0</v>
      </c>
      <c r="N36" s="13">
        <v>0</v>
      </c>
      <c r="O36" s="13">
        <v>0</v>
      </c>
      <c r="P36" s="13">
        <v>38400</v>
      </c>
      <c r="Q36" s="13">
        <v>0</v>
      </c>
      <c r="R36" s="13">
        <v>0</v>
      </c>
      <c r="S36" s="13">
        <v>0</v>
      </c>
      <c r="T36" s="13">
        <v>0</v>
      </c>
      <c r="U36" s="13">
        <v>0</v>
      </c>
      <c r="V36" s="13">
        <v>0</v>
      </c>
      <c r="W36" s="13">
        <v>0</v>
      </c>
      <c r="X36" s="13">
        <v>0</v>
      </c>
      <c r="Y36" s="13">
        <v>0</v>
      </c>
      <c r="Z36" s="13">
        <v>0</v>
      </c>
      <c r="AA36" s="13">
        <v>0</v>
      </c>
      <c r="AB36" s="13">
        <v>0</v>
      </c>
      <c r="AC36" s="13">
        <v>0</v>
      </c>
      <c r="AD36" s="13">
        <v>0</v>
      </c>
      <c r="AE36" s="13">
        <v>0</v>
      </c>
      <c r="AF36" s="13">
        <v>0</v>
      </c>
      <c r="AG36" s="95">
        <f t="shared" si="9"/>
        <v>156347.54999999999</v>
      </c>
      <c r="AH36" s="8">
        <v>33</v>
      </c>
    </row>
    <row r="37" spans="3:34" ht="15" x14ac:dyDescent="0.25">
      <c r="D37" s="8">
        <v>1045</v>
      </c>
      <c r="E37" s="8" t="s">
        <v>328</v>
      </c>
      <c r="F37" s="13">
        <v>0</v>
      </c>
      <c r="G37" s="13">
        <v>77320.800000000003</v>
      </c>
      <c r="H37" s="13">
        <v>0</v>
      </c>
      <c r="I37" s="13">
        <v>0</v>
      </c>
      <c r="J37" s="13">
        <v>0</v>
      </c>
      <c r="K37" s="13">
        <v>0</v>
      </c>
      <c r="L37" s="13">
        <v>0</v>
      </c>
      <c r="M37" s="13">
        <v>0</v>
      </c>
      <c r="N37" s="13">
        <v>0</v>
      </c>
      <c r="O37" s="13">
        <v>0</v>
      </c>
      <c r="P37" s="13">
        <v>0</v>
      </c>
      <c r="Q37" s="13">
        <v>0</v>
      </c>
      <c r="R37" s="13">
        <v>0</v>
      </c>
      <c r="S37" s="13">
        <v>0</v>
      </c>
      <c r="T37" s="13">
        <v>0</v>
      </c>
      <c r="U37" s="13">
        <v>4108.6499999999996</v>
      </c>
      <c r="V37" s="13">
        <v>0</v>
      </c>
      <c r="W37" s="13">
        <v>0</v>
      </c>
      <c r="X37" s="13">
        <v>0</v>
      </c>
      <c r="Y37" s="13">
        <v>0</v>
      </c>
      <c r="Z37" s="13">
        <v>0</v>
      </c>
      <c r="AA37" s="13">
        <v>0</v>
      </c>
      <c r="AB37" s="13">
        <v>0</v>
      </c>
      <c r="AC37" s="13">
        <v>0</v>
      </c>
      <c r="AD37" s="13">
        <v>0</v>
      </c>
      <c r="AE37" s="13">
        <v>0</v>
      </c>
      <c r="AF37" s="13">
        <v>0</v>
      </c>
      <c r="AG37" s="95">
        <f t="shared" si="9"/>
        <v>81429.45</v>
      </c>
      <c r="AH37" s="8">
        <v>34</v>
      </c>
    </row>
    <row r="38" spans="3:34"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95">
        <f t="shared" si="9"/>
        <v>0</v>
      </c>
      <c r="AH38" s="8">
        <v>35</v>
      </c>
    </row>
    <row r="39" spans="3:34" ht="15" x14ac:dyDescent="0.25">
      <c r="D39" s="8">
        <v>1049</v>
      </c>
      <c r="E39" s="8" t="s">
        <v>330</v>
      </c>
      <c r="F39" s="13">
        <v>0</v>
      </c>
      <c r="G39" s="13">
        <v>0</v>
      </c>
      <c r="H39" s="13">
        <v>302.12</v>
      </c>
      <c r="I39" s="13">
        <v>0</v>
      </c>
      <c r="J39" s="13">
        <v>0</v>
      </c>
      <c r="K39" s="13">
        <v>0</v>
      </c>
      <c r="L39" s="13">
        <v>0</v>
      </c>
      <c r="M39" s="13">
        <v>0</v>
      </c>
      <c r="N39" s="13">
        <v>0</v>
      </c>
      <c r="O39" s="13">
        <v>54980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95">
        <f t="shared" si="9"/>
        <v>55282.12</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5"/>
      <c r="AH40" s="8">
        <v>37</v>
      </c>
    </row>
    <row r="41" spans="3:34" ht="15" x14ac:dyDescent="0.25">
      <c r="C41" s="85">
        <v>106</v>
      </c>
      <c r="D41" s="85"/>
      <c r="E41" s="85" t="s">
        <v>241</v>
      </c>
      <c r="F41" s="107">
        <f>F42+F43+F44+F45+F46</f>
        <v>0</v>
      </c>
      <c r="G41" s="107">
        <f t="shared" ref="G41:AF41" si="10">G42+G43+G44+G45+G46</f>
        <v>0</v>
      </c>
      <c r="H41" s="107">
        <f t="shared" si="10"/>
        <v>1</v>
      </c>
      <c r="I41" s="107">
        <f t="shared" si="10"/>
        <v>0</v>
      </c>
      <c r="J41" s="107">
        <f t="shared" si="10"/>
        <v>0</v>
      </c>
      <c r="K41" s="107">
        <f t="shared" si="10"/>
        <v>0</v>
      </c>
      <c r="L41" s="107">
        <f t="shared" si="10"/>
        <v>0</v>
      </c>
      <c r="M41" s="107">
        <f t="shared" si="10"/>
        <v>0</v>
      </c>
      <c r="N41" s="107">
        <f t="shared" si="10"/>
        <v>0</v>
      </c>
      <c r="O41" s="107">
        <f t="shared" si="10"/>
        <v>0</v>
      </c>
      <c r="P41" s="107">
        <f t="shared" si="10"/>
        <v>0</v>
      </c>
      <c r="Q41" s="107">
        <f t="shared" si="10"/>
        <v>0</v>
      </c>
      <c r="R41" s="107">
        <f t="shared" si="10"/>
        <v>0</v>
      </c>
      <c r="S41" s="107">
        <f t="shared" si="10"/>
        <v>0</v>
      </c>
      <c r="T41" s="107">
        <f t="shared" si="10"/>
        <v>0</v>
      </c>
      <c r="U41" s="107">
        <f t="shared" si="10"/>
        <v>0</v>
      </c>
      <c r="V41" s="107">
        <f t="shared" si="10"/>
        <v>0</v>
      </c>
      <c r="W41" s="107">
        <f t="shared" si="10"/>
        <v>0</v>
      </c>
      <c r="X41" s="107">
        <f t="shared" si="10"/>
        <v>0</v>
      </c>
      <c r="Y41" s="107">
        <f t="shared" si="10"/>
        <v>0</v>
      </c>
      <c r="Z41" s="107">
        <f t="shared" si="10"/>
        <v>0</v>
      </c>
      <c r="AA41" s="107">
        <f t="shared" si="10"/>
        <v>0</v>
      </c>
      <c r="AB41" s="107">
        <f t="shared" si="10"/>
        <v>0</v>
      </c>
      <c r="AC41" s="107">
        <f t="shared" si="10"/>
        <v>0</v>
      </c>
      <c r="AD41" s="107">
        <f t="shared" si="10"/>
        <v>0</v>
      </c>
      <c r="AE41" s="107">
        <f t="shared" si="10"/>
        <v>0</v>
      </c>
      <c r="AF41" s="107">
        <f t="shared" si="10"/>
        <v>0</v>
      </c>
      <c r="AG41" s="107">
        <f t="shared" ref="AG41:AG46" si="11">SUM(F41:AF41)</f>
        <v>1</v>
      </c>
      <c r="AH41" s="8">
        <v>38</v>
      </c>
    </row>
    <row r="42" spans="3:34" ht="15" x14ac:dyDescent="0.25">
      <c r="D42" s="8">
        <v>1060</v>
      </c>
      <c r="E42" s="8" t="s">
        <v>331</v>
      </c>
      <c r="F42" s="13">
        <v>0</v>
      </c>
      <c r="G42" s="13">
        <v>0</v>
      </c>
      <c r="H42" s="13">
        <v>1</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95">
        <f t="shared" si="11"/>
        <v>1</v>
      </c>
      <c r="AH42" s="8">
        <v>39</v>
      </c>
    </row>
    <row r="43" spans="3:34"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95">
        <f t="shared" si="11"/>
        <v>0</v>
      </c>
      <c r="AH43" s="8">
        <v>40</v>
      </c>
    </row>
    <row r="44" spans="3:34"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95">
        <f t="shared" si="11"/>
        <v>0</v>
      </c>
      <c r="AH44" s="8">
        <v>41</v>
      </c>
    </row>
    <row r="45" spans="3:34"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95">
        <f t="shared" si="11"/>
        <v>0</v>
      </c>
      <c r="AH45" s="8">
        <v>42</v>
      </c>
    </row>
    <row r="46" spans="3:34"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95">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5"/>
      <c r="AH47" s="8">
        <v>44</v>
      </c>
    </row>
    <row r="48" spans="3:34" ht="15" x14ac:dyDescent="0.25">
      <c r="C48" s="85">
        <v>107</v>
      </c>
      <c r="D48" s="85"/>
      <c r="E48" s="85" t="s">
        <v>340</v>
      </c>
      <c r="F48" s="107">
        <f>F49+F50+F51+F52</f>
        <v>200</v>
      </c>
      <c r="G48" s="107">
        <f t="shared" ref="G48:AF48" si="12">G49+G50+G51+G52</f>
        <v>2184000</v>
      </c>
      <c r="H48" s="107">
        <f t="shared" si="12"/>
        <v>0</v>
      </c>
      <c r="I48" s="107">
        <f t="shared" si="12"/>
        <v>800000</v>
      </c>
      <c r="J48" s="107">
        <f t="shared" si="12"/>
        <v>0</v>
      </c>
      <c r="K48" s="107">
        <f t="shared" si="12"/>
        <v>0</v>
      </c>
      <c r="L48" s="107">
        <f t="shared" si="12"/>
        <v>0</v>
      </c>
      <c r="M48" s="107">
        <f t="shared" si="12"/>
        <v>20000</v>
      </c>
      <c r="N48" s="107">
        <f t="shared" si="12"/>
        <v>0</v>
      </c>
      <c r="O48" s="107">
        <f t="shared" si="12"/>
        <v>0</v>
      </c>
      <c r="P48" s="107">
        <f t="shared" si="12"/>
        <v>8300270</v>
      </c>
      <c r="Q48" s="107">
        <f t="shared" si="12"/>
        <v>0</v>
      </c>
      <c r="R48" s="107">
        <f t="shared" si="12"/>
        <v>0</v>
      </c>
      <c r="S48" s="107">
        <f t="shared" si="12"/>
        <v>0</v>
      </c>
      <c r="T48" s="107">
        <f t="shared" si="12"/>
        <v>0</v>
      </c>
      <c r="U48" s="107">
        <f t="shared" si="12"/>
        <v>85000.45</v>
      </c>
      <c r="V48" s="107">
        <f t="shared" si="12"/>
        <v>700</v>
      </c>
      <c r="W48" s="107">
        <f t="shared" si="12"/>
        <v>0</v>
      </c>
      <c r="X48" s="107">
        <f t="shared" si="12"/>
        <v>0</v>
      </c>
      <c r="Y48" s="107">
        <f t="shared" si="12"/>
        <v>280000</v>
      </c>
      <c r="Z48" s="107">
        <f t="shared" si="12"/>
        <v>200</v>
      </c>
      <c r="AA48" s="107">
        <f t="shared" si="12"/>
        <v>0</v>
      </c>
      <c r="AB48" s="107">
        <f t="shared" si="12"/>
        <v>0</v>
      </c>
      <c r="AC48" s="107">
        <f t="shared" si="12"/>
        <v>0</v>
      </c>
      <c r="AD48" s="107">
        <f t="shared" si="12"/>
        <v>0</v>
      </c>
      <c r="AE48" s="107">
        <f t="shared" si="12"/>
        <v>0</v>
      </c>
      <c r="AF48" s="107">
        <f t="shared" si="12"/>
        <v>0</v>
      </c>
      <c r="AG48" s="107">
        <f>SUM(F48:AF48)</f>
        <v>11670370.449999999</v>
      </c>
      <c r="AH48" s="8">
        <v>45</v>
      </c>
    </row>
    <row r="49" spans="3:34" ht="15" x14ac:dyDescent="0.25">
      <c r="D49" s="8">
        <v>1070</v>
      </c>
      <c r="E49" s="8" t="s">
        <v>336</v>
      </c>
      <c r="F49" s="13">
        <v>200</v>
      </c>
      <c r="G49" s="13">
        <v>0</v>
      </c>
      <c r="H49" s="13">
        <v>0</v>
      </c>
      <c r="I49" s="13">
        <v>0</v>
      </c>
      <c r="J49" s="13">
        <v>0</v>
      </c>
      <c r="K49" s="13">
        <v>0</v>
      </c>
      <c r="L49" s="13">
        <v>0</v>
      </c>
      <c r="M49" s="13">
        <v>20000</v>
      </c>
      <c r="N49" s="13">
        <v>0</v>
      </c>
      <c r="O49" s="13">
        <v>0</v>
      </c>
      <c r="P49" s="13">
        <v>270</v>
      </c>
      <c r="Q49" s="13">
        <v>0</v>
      </c>
      <c r="R49" s="13">
        <v>0</v>
      </c>
      <c r="S49" s="13">
        <v>0</v>
      </c>
      <c r="T49" s="13">
        <v>0</v>
      </c>
      <c r="U49" s="13">
        <v>237.9</v>
      </c>
      <c r="V49" s="13">
        <v>700</v>
      </c>
      <c r="W49" s="13">
        <v>0</v>
      </c>
      <c r="X49" s="13">
        <v>0</v>
      </c>
      <c r="Y49" s="13">
        <v>0</v>
      </c>
      <c r="Z49" s="13">
        <v>200</v>
      </c>
      <c r="AA49" s="13">
        <v>0</v>
      </c>
      <c r="AB49" s="13">
        <v>0</v>
      </c>
      <c r="AC49" s="13">
        <v>0</v>
      </c>
      <c r="AD49" s="13">
        <v>0</v>
      </c>
      <c r="AE49" s="13">
        <v>0</v>
      </c>
      <c r="AF49" s="13">
        <v>0</v>
      </c>
      <c r="AG49" s="95">
        <f>SUM(F49:AF49)</f>
        <v>21607.9</v>
      </c>
      <c r="AH49" s="8">
        <v>46</v>
      </c>
    </row>
    <row r="50" spans="3:34" ht="15" x14ac:dyDescent="0.25">
      <c r="D50" s="8">
        <v>1071</v>
      </c>
      <c r="E50" s="8" t="s">
        <v>337</v>
      </c>
      <c r="F50" s="13">
        <v>0</v>
      </c>
      <c r="G50" s="13">
        <v>2184000</v>
      </c>
      <c r="H50" s="13">
        <v>0</v>
      </c>
      <c r="I50" s="13">
        <v>800000</v>
      </c>
      <c r="J50" s="13">
        <v>0</v>
      </c>
      <c r="K50" s="13">
        <v>0</v>
      </c>
      <c r="L50" s="13">
        <v>0</v>
      </c>
      <c r="M50" s="13">
        <v>0</v>
      </c>
      <c r="N50" s="13">
        <v>0</v>
      </c>
      <c r="O50" s="13">
        <v>0</v>
      </c>
      <c r="P50" s="13">
        <v>8300000</v>
      </c>
      <c r="Q50" s="13">
        <v>0</v>
      </c>
      <c r="R50" s="13">
        <v>0</v>
      </c>
      <c r="S50" s="13">
        <v>0</v>
      </c>
      <c r="T50" s="13">
        <v>0</v>
      </c>
      <c r="U50" s="13">
        <v>72602.55</v>
      </c>
      <c r="V50" s="13">
        <v>0</v>
      </c>
      <c r="W50" s="13">
        <v>0</v>
      </c>
      <c r="X50" s="13">
        <v>0</v>
      </c>
      <c r="Y50" s="13">
        <v>280000</v>
      </c>
      <c r="Z50" s="13">
        <v>0</v>
      </c>
      <c r="AA50" s="13">
        <v>0</v>
      </c>
      <c r="AB50" s="13">
        <v>0</v>
      </c>
      <c r="AC50" s="13">
        <v>0</v>
      </c>
      <c r="AD50" s="13">
        <v>0</v>
      </c>
      <c r="AE50" s="13">
        <v>0</v>
      </c>
      <c r="AF50" s="13">
        <v>0</v>
      </c>
      <c r="AG50" s="95">
        <f>SUM(F50:AF50)</f>
        <v>11636602.550000001</v>
      </c>
      <c r="AH50" s="8">
        <v>47</v>
      </c>
    </row>
    <row r="51" spans="3:34"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12160</v>
      </c>
      <c r="V51" s="13">
        <v>0</v>
      </c>
      <c r="W51" s="13">
        <v>0</v>
      </c>
      <c r="X51" s="13">
        <v>0</v>
      </c>
      <c r="Y51" s="13">
        <v>0</v>
      </c>
      <c r="Z51" s="13">
        <v>0</v>
      </c>
      <c r="AA51" s="13">
        <v>0</v>
      </c>
      <c r="AB51" s="13">
        <v>0</v>
      </c>
      <c r="AC51" s="13">
        <v>0</v>
      </c>
      <c r="AD51" s="13">
        <v>0</v>
      </c>
      <c r="AE51" s="13">
        <v>0</v>
      </c>
      <c r="AF51" s="13">
        <v>0</v>
      </c>
      <c r="AG51" s="95">
        <f>SUM(F51:AF51)</f>
        <v>12160</v>
      </c>
      <c r="AH51" s="8">
        <v>48</v>
      </c>
    </row>
    <row r="52" spans="3:34"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95">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5"/>
      <c r="AH53" s="8">
        <v>50</v>
      </c>
    </row>
    <row r="54" spans="3:34" ht="15" x14ac:dyDescent="0.25">
      <c r="C54" s="85">
        <v>108</v>
      </c>
      <c r="D54" s="85"/>
      <c r="E54" s="85" t="s">
        <v>242</v>
      </c>
      <c r="F54" s="107">
        <f>F55+F56+F57+F58+F59+F60</f>
        <v>0</v>
      </c>
      <c r="G54" s="107">
        <f t="shared" ref="G54:AF54" si="13">G55+G56+G57+G58+G59+G60</f>
        <v>0</v>
      </c>
      <c r="H54" s="107">
        <f t="shared" si="13"/>
        <v>0</v>
      </c>
      <c r="I54" s="107">
        <f t="shared" si="13"/>
        <v>0</v>
      </c>
      <c r="J54" s="107">
        <f t="shared" si="13"/>
        <v>0</v>
      </c>
      <c r="K54" s="107">
        <f t="shared" si="13"/>
        <v>0</v>
      </c>
      <c r="L54" s="107">
        <f t="shared" si="13"/>
        <v>0</v>
      </c>
      <c r="M54" s="107">
        <f t="shared" si="13"/>
        <v>0</v>
      </c>
      <c r="N54" s="107">
        <f t="shared" si="13"/>
        <v>0</v>
      </c>
      <c r="O54" s="107">
        <f t="shared" si="13"/>
        <v>0</v>
      </c>
      <c r="P54" s="107">
        <f t="shared" si="13"/>
        <v>0</v>
      </c>
      <c r="Q54" s="107">
        <f t="shared" si="13"/>
        <v>0</v>
      </c>
      <c r="R54" s="107">
        <f t="shared" si="13"/>
        <v>0</v>
      </c>
      <c r="S54" s="107">
        <f t="shared" si="13"/>
        <v>0</v>
      </c>
      <c r="T54" s="107">
        <f t="shared" si="13"/>
        <v>0</v>
      </c>
      <c r="U54" s="107">
        <f t="shared" si="13"/>
        <v>363108.75</v>
      </c>
      <c r="V54" s="107">
        <f t="shared" si="13"/>
        <v>2934163.1</v>
      </c>
      <c r="W54" s="107">
        <f t="shared" si="13"/>
        <v>0</v>
      </c>
      <c r="X54" s="107">
        <f t="shared" si="13"/>
        <v>0</v>
      </c>
      <c r="Y54" s="107">
        <f t="shared" si="13"/>
        <v>0</v>
      </c>
      <c r="Z54" s="107">
        <f t="shared" si="13"/>
        <v>257410</v>
      </c>
      <c r="AA54" s="107">
        <f t="shared" si="13"/>
        <v>0</v>
      </c>
      <c r="AB54" s="107">
        <f t="shared" si="13"/>
        <v>0</v>
      </c>
      <c r="AC54" s="107">
        <f t="shared" si="13"/>
        <v>0</v>
      </c>
      <c r="AD54" s="107">
        <f t="shared" si="13"/>
        <v>0</v>
      </c>
      <c r="AE54" s="107">
        <f t="shared" si="13"/>
        <v>0</v>
      </c>
      <c r="AF54" s="107">
        <f t="shared" si="13"/>
        <v>0</v>
      </c>
      <c r="AG54" s="107">
        <f t="shared" ref="AG54:AG60" si="14">SUM(F54:AF54)</f>
        <v>3554681.85</v>
      </c>
      <c r="AH54" s="8">
        <v>51</v>
      </c>
    </row>
    <row r="55" spans="3:34" ht="15" x14ac:dyDescent="0.25">
      <c r="D55" s="8">
        <v>1080</v>
      </c>
      <c r="E55" s="8" t="s">
        <v>341</v>
      </c>
      <c r="F55" s="13">
        <v>0</v>
      </c>
      <c r="G55" s="13">
        <v>0</v>
      </c>
      <c r="H55" s="13">
        <v>0</v>
      </c>
      <c r="I55" s="13">
        <v>0</v>
      </c>
      <c r="J55" s="13">
        <v>0</v>
      </c>
      <c r="K55" s="13">
        <v>0</v>
      </c>
      <c r="L55" s="13">
        <v>0</v>
      </c>
      <c r="M55" s="13">
        <v>0</v>
      </c>
      <c r="N55" s="13">
        <v>0</v>
      </c>
      <c r="O55" s="13">
        <v>0</v>
      </c>
      <c r="P55" s="13">
        <v>0</v>
      </c>
      <c r="Q55" s="13">
        <v>0</v>
      </c>
      <c r="R55" s="13">
        <v>0</v>
      </c>
      <c r="S55" s="13">
        <v>0</v>
      </c>
      <c r="T55" s="13">
        <v>0</v>
      </c>
      <c r="U55" s="13">
        <v>363108.75</v>
      </c>
      <c r="V55" s="13">
        <v>0</v>
      </c>
      <c r="W55" s="13">
        <v>0</v>
      </c>
      <c r="X55" s="13">
        <v>0</v>
      </c>
      <c r="Y55" s="13">
        <v>0</v>
      </c>
      <c r="Z55" s="13">
        <v>257410</v>
      </c>
      <c r="AA55" s="13">
        <v>0</v>
      </c>
      <c r="AB55" s="13">
        <v>0</v>
      </c>
      <c r="AC55" s="13">
        <v>0</v>
      </c>
      <c r="AD55" s="13">
        <v>0</v>
      </c>
      <c r="AE55" s="13">
        <v>0</v>
      </c>
      <c r="AF55" s="13">
        <v>0</v>
      </c>
      <c r="AG55" s="95">
        <f t="shared" si="14"/>
        <v>620518.75</v>
      </c>
      <c r="AH55" s="8">
        <v>52</v>
      </c>
    </row>
    <row r="56" spans="3:34" ht="15" x14ac:dyDescent="0.25">
      <c r="D56" s="8">
        <v>1084</v>
      </c>
      <c r="E56" s="8" t="s">
        <v>342</v>
      </c>
      <c r="F56" s="13">
        <v>0</v>
      </c>
      <c r="G56" s="13">
        <v>0</v>
      </c>
      <c r="H56" s="13">
        <v>0</v>
      </c>
      <c r="I56" s="13">
        <v>0</v>
      </c>
      <c r="J56" s="13">
        <v>0</v>
      </c>
      <c r="K56" s="13">
        <v>0</v>
      </c>
      <c r="L56" s="13">
        <v>0</v>
      </c>
      <c r="M56" s="13">
        <v>0</v>
      </c>
      <c r="N56" s="13">
        <v>0</v>
      </c>
      <c r="O56" s="13">
        <v>0</v>
      </c>
      <c r="P56" s="13">
        <v>0</v>
      </c>
      <c r="Q56" s="13">
        <v>0</v>
      </c>
      <c r="R56" s="13">
        <v>0</v>
      </c>
      <c r="S56" s="13">
        <v>0</v>
      </c>
      <c r="T56" s="13">
        <v>0</v>
      </c>
      <c r="U56" s="13">
        <v>0</v>
      </c>
      <c r="V56" s="13">
        <v>2334265.25</v>
      </c>
      <c r="W56" s="13">
        <v>0</v>
      </c>
      <c r="X56" s="13">
        <v>0</v>
      </c>
      <c r="Y56" s="13">
        <v>0</v>
      </c>
      <c r="Z56" s="13">
        <v>0</v>
      </c>
      <c r="AA56" s="13">
        <v>0</v>
      </c>
      <c r="AB56" s="13">
        <v>0</v>
      </c>
      <c r="AC56" s="13">
        <v>0</v>
      </c>
      <c r="AD56" s="13">
        <v>0</v>
      </c>
      <c r="AE56" s="13">
        <v>0</v>
      </c>
      <c r="AF56" s="13">
        <v>0</v>
      </c>
      <c r="AG56" s="95">
        <f t="shared" si="14"/>
        <v>2334265.25</v>
      </c>
      <c r="AH56" s="8">
        <v>53</v>
      </c>
    </row>
    <row r="57" spans="3:34"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95">
        <f t="shared" si="14"/>
        <v>0</v>
      </c>
      <c r="AH57" s="8">
        <v>54</v>
      </c>
    </row>
    <row r="58" spans="3:34"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599897.85</v>
      </c>
      <c r="W58" s="13">
        <v>0</v>
      </c>
      <c r="X58" s="13">
        <v>0</v>
      </c>
      <c r="Y58" s="13">
        <v>0</v>
      </c>
      <c r="Z58" s="13">
        <v>0</v>
      </c>
      <c r="AA58" s="13">
        <v>0</v>
      </c>
      <c r="AB58" s="13">
        <v>0</v>
      </c>
      <c r="AC58" s="13">
        <v>0</v>
      </c>
      <c r="AD58" s="13">
        <v>0</v>
      </c>
      <c r="AE58" s="13">
        <v>0</v>
      </c>
      <c r="AF58" s="13">
        <v>0</v>
      </c>
      <c r="AG58" s="95">
        <f t="shared" si="14"/>
        <v>599897.85</v>
      </c>
      <c r="AH58" s="8">
        <v>55</v>
      </c>
    </row>
    <row r="59" spans="3:34"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95">
        <f t="shared" si="14"/>
        <v>0</v>
      </c>
      <c r="AH59" s="8">
        <v>56</v>
      </c>
    </row>
    <row r="60" spans="3:34"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95">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5"/>
      <c r="AH61" s="8">
        <v>58</v>
      </c>
    </row>
    <row r="62" spans="3:34" ht="15" x14ac:dyDescent="0.25">
      <c r="C62" s="85">
        <v>109</v>
      </c>
      <c r="D62" s="85"/>
      <c r="E62" s="85" t="s">
        <v>347</v>
      </c>
      <c r="F62" s="107">
        <f>F63+F64+F65+F66</f>
        <v>0</v>
      </c>
      <c r="G62" s="107">
        <f t="shared" ref="G62:AF62" si="15">G63+G64+G65+G66</f>
        <v>0</v>
      </c>
      <c r="H62" s="107">
        <f t="shared" si="15"/>
        <v>0</v>
      </c>
      <c r="I62" s="107">
        <f t="shared" si="15"/>
        <v>0</v>
      </c>
      <c r="J62" s="107">
        <f t="shared" si="15"/>
        <v>0</v>
      </c>
      <c r="K62" s="107">
        <f t="shared" si="15"/>
        <v>0</v>
      </c>
      <c r="L62" s="107">
        <f t="shared" si="15"/>
        <v>0</v>
      </c>
      <c r="M62" s="107">
        <f t="shared" si="15"/>
        <v>0</v>
      </c>
      <c r="N62" s="107">
        <f t="shared" si="15"/>
        <v>0</v>
      </c>
      <c r="O62" s="107">
        <f t="shared" si="15"/>
        <v>0</v>
      </c>
      <c r="P62" s="107">
        <f t="shared" si="15"/>
        <v>0</v>
      </c>
      <c r="Q62" s="107">
        <f t="shared" si="15"/>
        <v>0</v>
      </c>
      <c r="R62" s="107">
        <f t="shared" si="15"/>
        <v>0</v>
      </c>
      <c r="S62" s="107">
        <f t="shared" si="15"/>
        <v>0</v>
      </c>
      <c r="T62" s="107">
        <f t="shared" si="15"/>
        <v>0</v>
      </c>
      <c r="U62" s="107">
        <f t="shared" si="15"/>
        <v>0</v>
      </c>
      <c r="V62" s="107">
        <f t="shared" si="15"/>
        <v>0</v>
      </c>
      <c r="W62" s="107">
        <f t="shared" si="15"/>
        <v>0</v>
      </c>
      <c r="X62" s="107">
        <f t="shared" si="15"/>
        <v>0</v>
      </c>
      <c r="Y62" s="107">
        <f t="shared" si="15"/>
        <v>0</v>
      </c>
      <c r="Z62" s="107">
        <f t="shared" si="15"/>
        <v>0</v>
      </c>
      <c r="AA62" s="107">
        <f t="shared" si="15"/>
        <v>0</v>
      </c>
      <c r="AB62" s="107">
        <f t="shared" si="15"/>
        <v>0</v>
      </c>
      <c r="AC62" s="107">
        <f t="shared" si="15"/>
        <v>0</v>
      </c>
      <c r="AD62" s="107">
        <f t="shared" si="15"/>
        <v>0</v>
      </c>
      <c r="AE62" s="107">
        <f t="shared" si="15"/>
        <v>0</v>
      </c>
      <c r="AF62" s="107">
        <f t="shared" si="15"/>
        <v>0</v>
      </c>
      <c r="AG62" s="107">
        <f>SUM(F62:AF62)</f>
        <v>0</v>
      </c>
      <c r="AH62" s="8">
        <v>59</v>
      </c>
    </row>
    <row r="63" spans="3:34"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95">
        <f>SUM(F63:AF63)</f>
        <v>0</v>
      </c>
      <c r="AH63" s="8">
        <v>60</v>
      </c>
    </row>
    <row r="64" spans="3:34"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95">
        <f>SUM(F64:AF64)</f>
        <v>0</v>
      </c>
      <c r="AH64" s="8">
        <v>61</v>
      </c>
    </row>
    <row r="65" spans="2:34"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95">
        <f>SUM(F65:AF65)</f>
        <v>0</v>
      </c>
      <c r="AH65" s="8">
        <v>62</v>
      </c>
    </row>
    <row r="66" spans="2:34"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95">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5"/>
      <c r="AH67" s="8">
        <v>64</v>
      </c>
    </row>
    <row r="68" spans="2:34" ht="15" x14ac:dyDescent="0.25">
      <c r="B68" s="118">
        <v>14</v>
      </c>
      <c r="C68" s="118"/>
      <c r="D68" s="118"/>
      <c r="E68" s="118" t="s">
        <v>243</v>
      </c>
      <c r="F68" s="119">
        <f>F69+F80+F86+F97+F108</f>
        <v>3420785.33</v>
      </c>
      <c r="G68" s="119">
        <f t="shared" ref="G68:AF68" si="16">G69+G80+G86+G97+G108</f>
        <v>61678731.959999993</v>
      </c>
      <c r="H68" s="119">
        <f t="shared" si="16"/>
        <v>1</v>
      </c>
      <c r="I68" s="119">
        <f t="shared" si="16"/>
        <v>3587869.15</v>
      </c>
      <c r="J68" s="119">
        <f t="shared" si="16"/>
        <v>851654.48</v>
      </c>
      <c r="K68" s="119">
        <f t="shared" si="16"/>
        <v>3289698.17</v>
      </c>
      <c r="L68" s="119">
        <f t="shared" si="16"/>
        <v>369990</v>
      </c>
      <c r="M68" s="119">
        <f t="shared" si="16"/>
        <v>4000194.58</v>
      </c>
      <c r="N68" s="119">
        <f t="shared" si="16"/>
        <v>0</v>
      </c>
      <c r="O68" s="119">
        <f t="shared" si="16"/>
        <v>0</v>
      </c>
      <c r="P68" s="119">
        <f t="shared" si="16"/>
        <v>2384800.0499999998</v>
      </c>
      <c r="Q68" s="119">
        <f t="shared" si="16"/>
        <v>28500</v>
      </c>
      <c r="R68" s="119">
        <f t="shared" si="16"/>
        <v>19200</v>
      </c>
      <c r="S68" s="119">
        <f t="shared" si="16"/>
        <v>2200</v>
      </c>
      <c r="T68" s="119">
        <f t="shared" si="16"/>
        <v>0</v>
      </c>
      <c r="U68" s="119">
        <f t="shared" si="16"/>
        <v>309716.40000000002</v>
      </c>
      <c r="V68" s="119">
        <f t="shared" si="16"/>
        <v>0</v>
      </c>
      <c r="W68" s="119">
        <f t="shared" si="16"/>
        <v>1368004.04</v>
      </c>
      <c r="X68" s="119">
        <f t="shared" si="16"/>
        <v>0</v>
      </c>
      <c r="Y68" s="119">
        <f t="shared" si="16"/>
        <v>507222</v>
      </c>
      <c r="Z68" s="119">
        <f t="shared" si="16"/>
        <v>20076364.779999997</v>
      </c>
      <c r="AA68" s="119">
        <f t="shared" si="16"/>
        <v>1781504.5</v>
      </c>
      <c r="AB68" s="119">
        <f t="shared" si="16"/>
        <v>4081892.96</v>
      </c>
      <c r="AC68" s="119">
        <f t="shared" si="16"/>
        <v>0</v>
      </c>
      <c r="AD68" s="119">
        <f t="shared" si="16"/>
        <v>0</v>
      </c>
      <c r="AE68" s="119">
        <f t="shared" si="16"/>
        <v>7526979.7999999998</v>
      </c>
      <c r="AF68" s="119">
        <f t="shared" si="16"/>
        <v>3380</v>
      </c>
      <c r="AG68" s="119">
        <f t="shared" ref="AG68:AG78" si="17">SUM(F68:AF68)</f>
        <v>115288689.2</v>
      </c>
      <c r="AH68" s="8">
        <v>65</v>
      </c>
    </row>
    <row r="69" spans="2:34" ht="15" x14ac:dyDescent="0.25">
      <c r="C69" s="85">
        <v>140</v>
      </c>
      <c r="D69" s="85"/>
      <c r="E69" s="85" t="s">
        <v>245</v>
      </c>
      <c r="F69" s="107">
        <f>F70+F71+F72+F73+F74+F75+F76+F77+F78</f>
        <v>3420785.33</v>
      </c>
      <c r="G69" s="107">
        <f t="shared" ref="G69:AF69" si="18">G70+G71+G72+G73+G74+G75+G76+G77+G78</f>
        <v>61678731.959999993</v>
      </c>
      <c r="H69" s="107">
        <f t="shared" si="18"/>
        <v>1</v>
      </c>
      <c r="I69" s="107">
        <f t="shared" si="18"/>
        <v>3580869.15</v>
      </c>
      <c r="J69" s="107">
        <f t="shared" si="18"/>
        <v>147932</v>
      </c>
      <c r="K69" s="107">
        <f t="shared" si="18"/>
        <v>3228906.42</v>
      </c>
      <c r="L69" s="107">
        <f t="shared" si="18"/>
        <v>369990</v>
      </c>
      <c r="M69" s="107">
        <f t="shared" si="18"/>
        <v>3958500.48</v>
      </c>
      <c r="N69" s="107">
        <f t="shared" si="18"/>
        <v>0</v>
      </c>
      <c r="O69" s="107">
        <f t="shared" si="18"/>
        <v>0</v>
      </c>
      <c r="P69" s="107">
        <f t="shared" si="18"/>
        <v>2016431.75</v>
      </c>
      <c r="Q69" s="107">
        <f t="shared" si="18"/>
        <v>28500</v>
      </c>
      <c r="R69" s="107">
        <f t="shared" si="18"/>
        <v>19200</v>
      </c>
      <c r="S69" s="107">
        <f t="shared" si="18"/>
        <v>2200</v>
      </c>
      <c r="T69" s="107">
        <f t="shared" si="18"/>
        <v>0</v>
      </c>
      <c r="U69" s="107">
        <f t="shared" si="18"/>
        <v>309716.40000000002</v>
      </c>
      <c r="V69" s="107">
        <f t="shared" si="18"/>
        <v>0</v>
      </c>
      <c r="W69" s="107">
        <f t="shared" si="18"/>
        <v>1368004.04</v>
      </c>
      <c r="X69" s="107">
        <f t="shared" si="18"/>
        <v>0</v>
      </c>
      <c r="Y69" s="107">
        <f t="shared" si="18"/>
        <v>507222</v>
      </c>
      <c r="Z69" s="107">
        <f t="shared" si="18"/>
        <v>20076362.779999997</v>
      </c>
      <c r="AA69" s="107">
        <f t="shared" si="18"/>
        <v>1707990.7</v>
      </c>
      <c r="AB69" s="107">
        <f t="shared" si="18"/>
        <v>4081892.96</v>
      </c>
      <c r="AC69" s="107">
        <f t="shared" si="18"/>
        <v>0</v>
      </c>
      <c r="AD69" s="107">
        <f t="shared" si="18"/>
        <v>0</v>
      </c>
      <c r="AE69" s="107">
        <f t="shared" si="18"/>
        <v>7526979.7999999998</v>
      </c>
      <c r="AF69" s="107">
        <f t="shared" si="18"/>
        <v>3380</v>
      </c>
      <c r="AG69" s="107">
        <f t="shared" si="17"/>
        <v>114033596.77000001</v>
      </c>
      <c r="AH69" s="8">
        <v>66</v>
      </c>
    </row>
    <row r="70" spans="2:34" ht="15" x14ac:dyDescent="0.25">
      <c r="D70" s="8">
        <v>1400</v>
      </c>
      <c r="E70" s="8" t="s">
        <v>351</v>
      </c>
      <c r="F70" s="13">
        <v>0</v>
      </c>
      <c r="G70" s="13">
        <v>0</v>
      </c>
      <c r="H70" s="13">
        <v>0</v>
      </c>
      <c r="I70" s="13">
        <v>0</v>
      </c>
      <c r="J70" s="13">
        <v>147932</v>
      </c>
      <c r="K70" s="13">
        <v>0</v>
      </c>
      <c r="L70" s="13">
        <v>0</v>
      </c>
      <c r="M70" s="13">
        <v>0</v>
      </c>
      <c r="N70" s="13">
        <v>0</v>
      </c>
      <c r="O70" s="13">
        <v>0</v>
      </c>
      <c r="P70" s="13">
        <v>0</v>
      </c>
      <c r="Q70" s="13">
        <v>0</v>
      </c>
      <c r="R70" s="13">
        <v>19200</v>
      </c>
      <c r="S70" s="13">
        <v>0</v>
      </c>
      <c r="T70" s="13">
        <v>0</v>
      </c>
      <c r="U70" s="13">
        <v>0</v>
      </c>
      <c r="V70" s="13">
        <v>0</v>
      </c>
      <c r="W70" s="13">
        <v>0</v>
      </c>
      <c r="X70" s="13">
        <v>0</v>
      </c>
      <c r="Y70" s="13">
        <v>16120</v>
      </c>
      <c r="Z70" s="13">
        <v>0</v>
      </c>
      <c r="AA70" s="13">
        <v>0</v>
      </c>
      <c r="AB70" s="13">
        <v>0</v>
      </c>
      <c r="AC70" s="13">
        <v>0</v>
      </c>
      <c r="AD70" s="13">
        <v>0</v>
      </c>
      <c r="AE70" s="13">
        <v>0</v>
      </c>
      <c r="AF70" s="13">
        <v>3380</v>
      </c>
      <c r="AG70" s="95">
        <f t="shared" si="17"/>
        <v>186632</v>
      </c>
      <c r="AH70" s="8">
        <v>67</v>
      </c>
    </row>
    <row r="71" spans="2:34" ht="15" x14ac:dyDescent="0.25">
      <c r="D71" s="8">
        <v>1401</v>
      </c>
      <c r="E71" s="8" t="s">
        <v>352</v>
      </c>
      <c r="F71" s="13">
        <v>0</v>
      </c>
      <c r="G71" s="13">
        <v>0</v>
      </c>
      <c r="H71" s="13">
        <v>0</v>
      </c>
      <c r="I71" s="13">
        <v>333985.55</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95">
        <f t="shared" si="17"/>
        <v>333985.55</v>
      </c>
      <c r="AH71" s="8">
        <v>68</v>
      </c>
    </row>
    <row r="72" spans="2:34" ht="15" x14ac:dyDescent="0.25">
      <c r="D72" s="8">
        <v>1402</v>
      </c>
      <c r="E72" s="8" t="s">
        <v>353</v>
      </c>
      <c r="F72" s="13">
        <v>0</v>
      </c>
      <c r="G72" s="13">
        <v>61015.87</v>
      </c>
      <c r="H72" s="13">
        <v>0</v>
      </c>
      <c r="I72" s="13">
        <v>0</v>
      </c>
      <c r="J72" s="13">
        <v>0</v>
      </c>
      <c r="K72" s="13">
        <v>0</v>
      </c>
      <c r="L72" s="13">
        <v>0</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95">
        <f t="shared" si="17"/>
        <v>61015.87</v>
      </c>
      <c r="AH72" s="8">
        <v>69</v>
      </c>
    </row>
    <row r="73" spans="2:34" ht="15" x14ac:dyDescent="0.25">
      <c r="D73" s="8">
        <v>1403</v>
      </c>
      <c r="E73" s="8" t="s">
        <v>354</v>
      </c>
      <c r="F73" s="13">
        <v>3420785.33</v>
      </c>
      <c r="G73" s="13">
        <v>55632699</v>
      </c>
      <c r="H73" s="13">
        <v>0</v>
      </c>
      <c r="I73" s="13">
        <v>1823624.85</v>
      </c>
      <c r="J73" s="13">
        <v>0</v>
      </c>
      <c r="K73" s="13">
        <v>0</v>
      </c>
      <c r="L73" s="13">
        <v>0</v>
      </c>
      <c r="M73" s="13">
        <v>3104135.85</v>
      </c>
      <c r="N73" s="13">
        <v>0</v>
      </c>
      <c r="O73" s="13">
        <v>0</v>
      </c>
      <c r="P73" s="13">
        <v>0</v>
      </c>
      <c r="Q73" s="13">
        <v>0</v>
      </c>
      <c r="R73" s="13">
        <v>0</v>
      </c>
      <c r="S73" s="13">
        <v>2200</v>
      </c>
      <c r="T73" s="13">
        <v>0</v>
      </c>
      <c r="U73" s="13">
        <v>148800</v>
      </c>
      <c r="V73" s="13">
        <v>0</v>
      </c>
      <c r="W73" s="13">
        <v>0</v>
      </c>
      <c r="X73" s="13">
        <v>0</v>
      </c>
      <c r="Y73" s="13">
        <v>0</v>
      </c>
      <c r="Z73" s="13">
        <v>1419947.16</v>
      </c>
      <c r="AA73" s="13">
        <v>1487193.65</v>
      </c>
      <c r="AB73" s="13">
        <v>264580</v>
      </c>
      <c r="AC73" s="13">
        <v>0</v>
      </c>
      <c r="AD73" s="13">
        <v>0</v>
      </c>
      <c r="AE73" s="13">
        <v>0</v>
      </c>
      <c r="AF73" s="13">
        <v>0</v>
      </c>
      <c r="AG73" s="95">
        <f t="shared" si="17"/>
        <v>67303965.840000004</v>
      </c>
      <c r="AH73" s="8">
        <v>70</v>
      </c>
    </row>
    <row r="74" spans="2:34" ht="15" x14ac:dyDescent="0.25">
      <c r="D74" s="8">
        <v>1404</v>
      </c>
      <c r="E74" s="8" t="s">
        <v>355</v>
      </c>
      <c r="F74" s="13">
        <v>0</v>
      </c>
      <c r="G74" s="13">
        <v>5972301.5899999999</v>
      </c>
      <c r="H74" s="13">
        <v>1</v>
      </c>
      <c r="I74" s="13">
        <v>370949.05</v>
      </c>
      <c r="J74" s="13">
        <v>0</v>
      </c>
      <c r="K74" s="13">
        <v>2871932.21</v>
      </c>
      <c r="L74" s="13">
        <v>181100</v>
      </c>
      <c r="M74" s="13">
        <v>0</v>
      </c>
      <c r="N74" s="13">
        <v>0</v>
      </c>
      <c r="O74" s="13">
        <v>0</v>
      </c>
      <c r="P74" s="13">
        <v>47284.2</v>
      </c>
      <c r="Q74" s="13">
        <v>28500</v>
      </c>
      <c r="R74" s="13">
        <v>0</v>
      </c>
      <c r="S74" s="13">
        <v>0</v>
      </c>
      <c r="T74" s="13">
        <v>0</v>
      </c>
      <c r="U74" s="13">
        <v>160916.4</v>
      </c>
      <c r="V74" s="13">
        <v>0</v>
      </c>
      <c r="W74" s="13">
        <v>1368004.04</v>
      </c>
      <c r="X74" s="13">
        <v>0</v>
      </c>
      <c r="Y74" s="13">
        <v>491101</v>
      </c>
      <c r="Z74" s="13">
        <v>18438247.379999999</v>
      </c>
      <c r="AA74" s="13">
        <v>220697.05</v>
      </c>
      <c r="AB74" s="13">
        <v>936475</v>
      </c>
      <c r="AC74" s="13">
        <v>0</v>
      </c>
      <c r="AD74" s="13">
        <v>0</v>
      </c>
      <c r="AE74" s="13">
        <v>7415196.9500000002</v>
      </c>
      <c r="AF74" s="13">
        <v>0</v>
      </c>
      <c r="AG74" s="95">
        <f t="shared" si="17"/>
        <v>38502705.869999997</v>
      </c>
      <c r="AH74" s="8">
        <v>71</v>
      </c>
    </row>
    <row r="75" spans="2:34" ht="15" x14ac:dyDescent="0.25">
      <c r="D75" s="8">
        <v>1405</v>
      </c>
      <c r="E75" s="8" t="s">
        <v>356</v>
      </c>
      <c r="F75" s="13">
        <v>0</v>
      </c>
      <c r="G75" s="13">
        <v>0</v>
      </c>
      <c r="H75" s="13">
        <v>0</v>
      </c>
      <c r="I75" s="13">
        <v>0</v>
      </c>
      <c r="J75" s="13">
        <v>0</v>
      </c>
      <c r="K75" s="13">
        <v>0</v>
      </c>
      <c r="L75" s="13">
        <v>0</v>
      </c>
      <c r="M75" s="13">
        <v>0</v>
      </c>
      <c r="N75" s="13">
        <v>0</v>
      </c>
      <c r="O75" s="13">
        <v>0</v>
      </c>
      <c r="P75" s="13">
        <v>0</v>
      </c>
      <c r="Q75" s="13">
        <v>0</v>
      </c>
      <c r="R75" s="13">
        <v>0</v>
      </c>
      <c r="S75" s="13">
        <v>0</v>
      </c>
      <c r="T75" s="13">
        <v>0</v>
      </c>
      <c r="U75" s="13">
        <v>0</v>
      </c>
      <c r="V75" s="13">
        <v>0</v>
      </c>
      <c r="W75" s="13">
        <v>0</v>
      </c>
      <c r="X75" s="13">
        <v>0</v>
      </c>
      <c r="Y75" s="13">
        <v>0</v>
      </c>
      <c r="Z75" s="13">
        <v>0</v>
      </c>
      <c r="AA75" s="13">
        <v>0</v>
      </c>
      <c r="AB75" s="13">
        <v>0</v>
      </c>
      <c r="AC75" s="13">
        <v>0</v>
      </c>
      <c r="AD75" s="13">
        <v>0</v>
      </c>
      <c r="AE75" s="13">
        <v>0</v>
      </c>
      <c r="AF75" s="13">
        <v>0</v>
      </c>
      <c r="AG75" s="95">
        <f t="shared" si="17"/>
        <v>0</v>
      </c>
      <c r="AH75" s="8">
        <v>72</v>
      </c>
    </row>
    <row r="76" spans="2:34" ht="15" x14ac:dyDescent="0.25">
      <c r="D76" s="8">
        <v>1406</v>
      </c>
      <c r="E76" s="8" t="s">
        <v>357</v>
      </c>
      <c r="F76" s="13">
        <v>0</v>
      </c>
      <c r="G76" s="13">
        <v>12715.5</v>
      </c>
      <c r="H76" s="13">
        <v>0</v>
      </c>
      <c r="I76" s="13">
        <v>628546.1</v>
      </c>
      <c r="J76" s="13">
        <v>0</v>
      </c>
      <c r="K76" s="13">
        <v>356974.21</v>
      </c>
      <c r="L76" s="13">
        <v>188890</v>
      </c>
      <c r="M76" s="13">
        <v>0</v>
      </c>
      <c r="N76" s="13">
        <v>0</v>
      </c>
      <c r="O76" s="13">
        <v>0</v>
      </c>
      <c r="P76" s="13">
        <v>0</v>
      </c>
      <c r="Q76" s="13">
        <v>0</v>
      </c>
      <c r="R76" s="13">
        <v>0</v>
      </c>
      <c r="S76" s="13">
        <v>0</v>
      </c>
      <c r="T76" s="13">
        <v>0</v>
      </c>
      <c r="U76" s="13">
        <v>0</v>
      </c>
      <c r="V76" s="13">
        <v>0</v>
      </c>
      <c r="W76" s="13">
        <v>0</v>
      </c>
      <c r="X76" s="13">
        <v>0</v>
      </c>
      <c r="Y76" s="13">
        <v>1</v>
      </c>
      <c r="Z76" s="13">
        <v>218168.24</v>
      </c>
      <c r="AA76" s="13">
        <v>100</v>
      </c>
      <c r="AB76" s="13">
        <v>32481.9</v>
      </c>
      <c r="AC76" s="13">
        <v>0</v>
      </c>
      <c r="AD76" s="13">
        <v>0</v>
      </c>
      <c r="AE76" s="13">
        <v>111782.85</v>
      </c>
      <c r="AF76" s="13">
        <v>0</v>
      </c>
      <c r="AG76" s="95">
        <f t="shared" si="17"/>
        <v>1549659.8</v>
      </c>
      <c r="AH76" s="8">
        <v>73</v>
      </c>
    </row>
    <row r="77" spans="2:34" ht="15" x14ac:dyDescent="0.25">
      <c r="D77" s="8">
        <v>1407</v>
      </c>
      <c r="E77" s="8" t="s">
        <v>358</v>
      </c>
      <c r="F77" s="13">
        <v>0</v>
      </c>
      <c r="G77" s="13">
        <v>0</v>
      </c>
      <c r="H77" s="13">
        <v>0</v>
      </c>
      <c r="I77" s="13">
        <v>423763.6</v>
      </c>
      <c r="J77" s="13">
        <v>0</v>
      </c>
      <c r="K77" s="13">
        <v>0</v>
      </c>
      <c r="L77" s="13">
        <v>0</v>
      </c>
      <c r="M77" s="13">
        <v>854364.63</v>
      </c>
      <c r="N77" s="13">
        <v>0</v>
      </c>
      <c r="O77" s="13">
        <v>0</v>
      </c>
      <c r="P77" s="13">
        <v>1969147.55</v>
      </c>
      <c r="Q77" s="13">
        <v>0</v>
      </c>
      <c r="R77" s="13">
        <v>0</v>
      </c>
      <c r="S77" s="13">
        <v>0</v>
      </c>
      <c r="T77" s="13">
        <v>0</v>
      </c>
      <c r="U77" s="13">
        <v>0</v>
      </c>
      <c r="V77" s="13">
        <v>0</v>
      </c>
      <c r="W77" s="13">
        <v>0</v>
      </c>
      <c r="X77" s="13">
        <v>0</v>
      </c>
      <c r="Y77" s="13">
        <v>0</v>
      </c>
      <c r="Z77" s="13">
        <v>0</v>
      </c>
      <c r="AA77" s="13">
        <v>0</v>
      </c>
      <c r="AB77" s="13">
        <v>2848356.06</v>
      </c>
      <c r="AC77" s="13">
        <v>0</v>
      </c>
      <c r="AD77" s="13">
        <v>0</v>
      </c>
      <c r="AE77" s="13">
        <v>0</v>
      </c>
      <c r="AF77" s="13">
        <v>0</v>
      </c>
      <c r="AG77" s="95">
        <f t="shared" si="17"/>
        <v>6095631.8399999999</v>
      </c>
      <c r="AH77" s="8">
        <v>74</v>
      </c>
    </row>
    <row r="78" spans="2:34"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95">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5"/>
      <c r="AH79" s="8">
        <v>76</v>
      </c>
    </row>
    <row r="80" spans="2:34" ht="15" x14ac:dyDescent="0.25">
      <c r="C80" s="85">
        <v>142</v>
      </c>
      <c r="D80" s="85"/>
      <c r="E80" s="85" t="s">
        <v>571</v>
      </c>
      <c r="F80" s="107">
        <f t="shared" ref="F80:O80" si="19">F81+F82+F83+F84</f>
        <v>0</v>
      </c>
      <c r="G80" s="107">
        <f t="shared" si="19"/>
        <v>0</v>
      </c>
      <c r="H80" s="107">
        <f t="shared" si="19"/>
        <v>0</v>
      </c>
      <c r="I80" s="107">
        <f t="shared" si="19"/>
        <v>7000</v>
      </c>
      <c r="J80" s="107">
        <f t="shared" si="19"/>
        <v>703722.48</v>
      </c>
      <c r="K80" s="107">
        <f t="shared" si="19"/>
        <v>60791.75</v>
      </c>
      <c r="L80" s="107">
        <f t="shared" si="19"/>
        <v>0</v>
      </c>
      <c r="M80" s="107">
        <f t="shared" si="19"/>
        <v>41694.1</v>
      </c>
      <c r="N80" s="107">
        <f t="shared" si="19"/>
        <v>0</v>
      </c>
      <c r="O80" s="107">
        <f t="shared" si="19"/>
        <v>0</v>
      </c>
      <c r="P80" s="107">
        <f>P81+P82+P83+P84</f>
        <v>368368.3</v>
      </c>
      <c r="Q80" s="107">
        <f t="shared" ref="Q80:AF80" si="20">Q81+Q82+Q83+Q84</f>
        <v>0</v>
      </c>
      <c r="R80" s="107">
        <f t="shared" si="20"/>
        <v>0</v>
      </c>
      <c r="S80" s="107">
        <f t="shared" si="20"/>
        <v>0</v>
      </c>
      <c r="T80" s="107">
        <f t="shared" si="20"/>
        <v>0</v>
      </c>
      <c r="U80" s="107">
        <f t="shared" si="20"/>
        <v>0</v>
      </c>
      <c r="V80" s="107">
        <f t="shared" si="20"/>
        <v>0</v>
      </c>
      <c r="W80" s="107">
        <f t="shared" si="20"/>
        <v>0</v>
      </c>
      <c r="X80" s="107">
        <f t="shared" si="20"/>
        <v>0</v>
      </c>
      <c r="Y80" s="107">
        <f t="shared" si="20"/>
        <v>0</v>
      </c>
      <c r="Z80" s="107">
        <f t="shared" si="20"/>
        <v>0</v>
      </c>
      <c r="AA80" s="107">
        <f t="shared" si="20"/>
        <v>73513.8</v>
      </c>
      <c r="AB80" s="107">
        <f t="shared" si="20"/>
        <v>0</v>
      </c>
      <c r="AC80" s="107">
        <f t="shared" si="20"/>
        <v>0</v>
      </c>
      <c r="AD80" s="107">
        <f t="shared" si="20"/>
        <v>0</v>
      </c>
      <c r="AE80" s="107">
        <f t="shared" si="20"/>
        <v>0</v>
      </c>
      <c r="AF80" s="107">
        <f t="shared" si="20"/>
        <v>0</v>
      </c>
      <c r="AG80" s="107">
        <f>SUM(F80:AF80)</f>
        <v>1255090.43</v>
      </c>
      <c r="AH80" s="8">
        <v>77</v>
      </c>
    </row>
    <row r="81" spans="3:34" ht="15" x14ac:dyDescent="0.25">
      <c r="D81" s="17">
        <v>1420</v>
      </c>
      <c r="E81" s="17" t="s">
        <v>360</v>
      </c>
      <c r="F81" s="13">
        <v>0</v>
      </c>
      <c r="G81" s="13">
        <v>0</v>
      </c>
      <c r="H81" s="13">
        <v>0</v>
      </c>
      <c r="I81" s="13">
        <v>7000</v>
      </c>
      <c r="J81" s="13">
        <v>0</v>
      </c>
      <c r="K81" s="13">
        <v>60791.75</v>
      </c>
      <c r="L81" s="13">
        <v>0</v>
      </c>
      <c r="M81" s="13">
        <v>0</v>
      </c>
      <c r="N81" s="13">
        <v>0</v>
      </c>
      <c r="O81" s="13">
        <v>0</v>
      </c>
      <c r="P81" s="13">
        <v>4050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95">
        <f>SUM(F81:AF81)</f>
        <v>71841.75</v>
      </c>
      <c r="AH81" s="8">
        <v>78</v>
      </c>
    </row>
    <row r="82" spans="3:34"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95">
        <f>SUM(F82:AF82)</f>
        <v>0</v>
      </c>
      <c r="AH82" s="8">
        <v>79</v>
      </c>
    </row>
    <row r="83" spans="3:34" ht="15" x14ac:dyDescent="0.25">
      <c r="D83" s="17">
        <v>1427</v>
      </c>
      <c r="E83" s="17" t="s">
        <v>570</v>
      </c>
      <c r="F83" s="13">
        <v>0</v>
      </c>
      <c r="G83" s="13">
        <v>0</v>
      </c>
      <c r="H83" s="13">
        <v>0</v>
      </c>
      <c r="I83" s="13">
        <v>0</v>
      </c>
      <c r="J83" s="13">
        <v>0</v>
      </c>
      <c r="K83" s="13">
        <v>0</v>
      </c>
      <c r="L83" s="13">
        <v>0</v>
      </c>
      <c r="M83" s="13">
        <v>0</v>
      </c>
      <c r="N83" s="13">
        <v>0</v>
      </c>
      <c r="O83" s="13">
        <v>0</v>
      </c>
      <c r="P83" s="13">
        <v>364318.3</v>
      </c>
      <c r="Q83" s="13">
        <v>0</v>
      </c>
      <c r="R83" s="13">
        <v>0</v>
      </c>
      <c r="S83" s="13">
        <v>0</v>
      </c>
      <c r="T83" s="13">
        <v>0</v>
      </c>
      <c r="U83" s="13">
        <v>0</v>
      </c>
      <c r="V83" s="13">
        <v>0</v>
      </c>
      <c r="W83" s="13">
        <v>0</v>
      </c>
      <c r="X83" s="13">
        <v>0</v>
      </c>
      <c r="Y83" s="13">
        <v>0</v>
      </c>
      <c r="Z83" s="13">
        <v>0</v>
      </c>
      <c r="AA83" s="13">
        <v>0</v>
      </c>
      <c r="AB83" s="13">
        <v>0</v>
      </c>
      <c r="AC83" s="13">
        <v>0</v>
      </c>
      <c r="AD83" s="13">
        <v>0</v>
      </c>
      <c r="AE83" s="13">
        <v>0</v>
      </c>
      <c r="AF83" s="13">
        <v>0</v>
      </c>
      <c r="AG83" s="95">
        <f>SUM(F83:AF83)</f>
        <v>364318.3</v>
      </c>
      <c r="AH83" s="8">
        <v>80</v>
      </c>
    </row>
    <row r="84" spans="3:34" ht="15" x14ac:dyDescent="0.25">
      <c r="D84" s="17">
        <v>1429</v>
      </c>
      <c r="E84" s="17" t="s">
        <v>459</v>
      </c>
      <c r="F84" s="13">
        <v>0</v>
      </c>
      <c r="G84" s="13">
        <v>0</v>
      </c>
      <c r="H84" s="13">
        <v>0</v>
      </c>
      <c r="I84" s="18">
        <v>0</v>
      </c>
      <c r="J84" s="13">
        <v>703722.48</v>
      </c>
      <c r="K84" s="13">
        <v>0</v>
      </c>
      <c r="L84" s="13">
        <v>0</v>
      </c>
      <c r="M84" s="13">
        <v>41694.1</v>
      </c>
      <c r="N84" s="13">
        <v>0</v>
      </c>
      <c r="O84" s="13">
        <v>0</v>
      </c>
      <c r="P84" s="13">
        <v>0</v>
      </c>
      <c r="Q84" s="13">
        <v>0</v>
      </c>
      <c r="R84" s="13">
        <v>0</v>
      </c>
      <c r="S84" s="13">
        <v>0</v>
      </c>
      <c r="T84" s="13">
        <v>0</v>
      </c>
      <c r="U84" s="13">
        <v>0</v>
      </c>
      <c r="V84" s="13">
        <v>0</v>
      </c>
      <c r="W84" s="13">
        <v>0</v>
      </c>
      <c r="X84" s="13">
        <v>0</v>
      </c>
      <c r="Y84" s="13">
        <v>0</v>
      </c>
      <c r="Z84" s="13">
        <v>0</v>
      </c>
      <c r="AA84" s="13">
        <v>73513.8</v>
      </c>
      <c r="AB84" s="13">
        <v>0</v>
      </c>
      <c r="AC84" s="13">
        <v>0</v>
      </c>
      <c r="AD84" s="13">
        <v>0</v>
      </c>
      <c r="AE84" s="13">
        <v>0</v>
      </c>
      <c r="AF84" s="13">
        <v>0</v>
      </c>
      <c r="AG84" s="95">
        <f>SUM(F84:AF84)</f>
        <v>818930.38</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5"/>
      <c r="AH85" s="8">
        <v>82</v>
      </c>
    </row>
    <row r="86" spans="3:34" ht="15" x14ac:dyDescent="0.25">
      <c r="C86" s="85">
        <v>144</v>
      </c>
      <c r="D86" s="85"/>
      <c r="E86" s="85" t="s">
        <v>246</v>
      </c>
      <c r="F86" s="107">
        <f>F87+F88+F89+F90+F91+F92+F93+F94+F95</f>
        <v>0</v>
      </c>
      <c r="G86" s="107">
        <f t="shared" ref="G86:AF86" si="21">G87+G88+G89+G90+G91+G92+G93+G94+G95</f>
        <v>0</v>
      </c>
      <c r="H86" s="107">
        <f t="shared" si="21"/>
        <v>0</v>
      </c>
      <c r="I86" s="107">
        <f t="shared" si="21"/>
        <v>0</v>
      </c>
      <c r="J86" s="107">
        <f t="shared" si="21"/>
        <v>0</v>
      </c>
      <c r="K86" s="107">
        <f t="shared" si="21"/>
        <v>0</v>
      </c>
      <c r="L86" s="107">
        <f t="shared" si="21"/>
        <v>0</v>
      </c>
      <c r="M86" s="107">
        <f t="shared" si="21"/>
        <v>0</v>
      </c>
      <c r="N86" s="107">
        <f t="shared" si="21"/>
        <v>0</v>
      </c>
      <c r="O86" s="107">
        <f t="shared" si="21"/>
        <v>0</v>
      </c>
      <c r="P86" s="107">
        <f t="shared" si="21"/>
        <v>0</v>
      </c>
      <c r="Q86" s="107">
        <f t="shared" si="21"/>
        <v>0</v>
      </c>
      <c r="R86" s="107">
        <f t="shared" si="21"/>
        <v>0</v>
      </c>
      <c r="S86" s="107">
        <f t="shared" si="21"/>
        <v>0</v>
      </c>
      <c r="T86" s="107">
        <f t="shared" si="21"/>
        <v>0</v>
      </c>
      <c r="U86" s="107">
        <f t="shared" si="21"/>
        <v>0</v>
      </c>
      <c r="V86" s="107">
        <f t="shared" si="21"/>
        <v>0</v>
      </c>
      <c r="W86" s="107">
        <f t="shared" si="21"/>
        <v>0</v>
      </c>
      <c r="X86" s="107">
        <f t="shared" si="21"/>
        <v>0</v>
      </c>
      <c r="Y86" s="107">
        <f t="shared" si="21"/>
        <v>0</v>
      </c>
      <c r="Z86" s="107">
        <f t="shared" si="21"/>
        <v>0</v>
      </c>
      <c r="AA86" s="107">
        <f t="shared" si="21"/>
        <v>0</v>
      </c>
      <c r="AB86" s="107">
        <f t="shared" si="21"/>
        <v>0</v>
      </c>
      <c r="AC86" s="107">
        <f t="shared" si="21"/>
        <v>0</v>
      </c>
      <c r="AD86" s="107">
        <f t="shared" si="21"/>
        <v>0</v>
      </c>
      <c r="AE86" s="107">
        <f t="shared" si="21"/>
        <v>0</v>
      </c>
      <c r="AF86" s="107">
        <f t="shared" si="21"/>
        <v>0</v>
      </c>
      <c r="AG86" s="107">
        <f t="shared" ref="AG86:AG95" si="22">SUM(F86:AF86)</f>
        <v>0</v>
      </c>
      <c r="AH86" s="8">
        <v>83</v>
      </c>
    </row>
    <row r="87" spans="3:34"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95">
        <f t="shared" si="22"/>
        <v>0</v>
      </c>
      <c r="AH87" s="8">
        <v>84</v>
      </c>
    </row>
    <row r="88" spans="3:34"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95">
        <f t="shared" si="22"/>
        <v>0</v>
      </c>
      <c r="AH88" s="8">
        <v>85</v>
      </c>
    </row>
    <row r="89" spans="3:34" ht="15" x14ac:dyDescent="0.25">
      <c r="D89" s="8">
        <v>1442</v>
      </c>
      <c r="E89" s="8" t="s">
        <v>363</v>
      </c>
      <c r="F89" s="13">
        <v>0</v>
      </c>
      <c r="G89" s="13">
        <v>0</v>
      </c>
      <c r="H89" s="13">
        <v>0</v>
      </c>
      <c r="I89" s="13">
        <v>0</v>
      </c>
      <c r="J89" s="13">
        <v>0</v>
      </c>
      <c r="K89" s="13">
        <v>0</v>
      </c>
      <c r="L89" s="13">
        <v>0</v>
      </c>
      <c r="M89" s="13">
        <v>0</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95">
        <f t="shared" si="22"/>
        <v>0</v>
      </c>
      <c r="AH89" s="8">
        <v>86</v>
      </c>
    </row>
    <row r="90" spans="3:34"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95">
        <f t="shared" si="22"/>
        <v>0</v>
      </c>
      <c r="AH90" s="8">
        <v>87</v>
      </c>
    </row>
    <row r="91" spans="3:34"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95">
        <f t="shared" si="22"/>
        <v>0</v>
      </c>
      <c r="AH91" s="8">
        <v>88</v>
      </c>
    </row>
    <row r="92" spans="3:34"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95">
        <f t="shared" si="22"/>
        <v>0</v>
      </c>
      <c r="AH92" s="8">
        <v>89</v>
      </c>
    </row>
    <row r="93" spans="3:34" ht="15" x14ac:dyDescent="0.25">
      <c r="D93" s="8">
        <v>1446</v>
      </c>
      <c r="E93" s="8" t="s">
        <v>368</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95">
        <f t="shared" si="22"/>
        <v>0</v>
      </c>
      <c r="AH93" s="8">
        <v>90</v>
      </c>
    </row>
    <row r="94" spans="3:34"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95">
        <f t="shared" si="22"/>
        <v>0</v>
      </c>
      <c r="AH94" s="8">
        <v>91</v>
      </c>
    </row>
    <row r="95" spans="3:34"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95">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5"/>
      <c r="AH96" s="8">
        <v>93</v>
      </c>
    </row>
    <row r="97" spans="3:34" ht="15" x14ac:dyDescent="0.25">
      <c r="C97" s="85">
        <v>145</v>
      </c>
      <c r="D97" s="85"/>
      <c r="E97" s="85" t="s">
        <v>373</v>
      </c>
      <c r="F97" s="107">
        <f>F98+F99+F100+F101+F102+F103+F104+F105+F106</f>
        <v>0</v>
      </c>
      <c r="G97" s="107">
        <f t="shared" ref="G97:AF97" si="23">G98+G99+G100+G101+G102+G103+G104+G105+G106</f>
        <v>0</v>
      </c>
      <c r="H97" s="107">
        <f t="shared" si="23"/>
        <v>0</v>
      </c>
      <c r="I97" s="107">
        <f t="shared" si="23"/>
        <v>0</v>
      </c>
      <c r="J97" s="107">
        <f t="shared" si="23"/>
        <v>0</v>
      </c>
      <c r="K97" s="107">
        <f t="shared" si="23"/>
        <v>0</v>
      </c>
      <c r="L97" s="107">
        <f t="shared" si="23"/>
        <v>0</v>
      </c>
      <c r="M97" s="107">
        <f t="shared" si="23"/>
        <v>0</v>
      </c>
      <c r="N97" s="107">
        <f t="shared" si="23"/>
        <v>0</v>
      </c>
      <c r="O97" s="107">
        <f t="shared" si="23"/>
        <v>0</v>
      </c>
      <c r="P97" s="107">
        <f t="shared" si="23"/>
        <v>0</v>
      </c>
      <c r="Q97" s="107">
        <f t="shared" si="23"/>
        <v>0</v>
      </c>
      <c r="R97" s="107">
        <f t="shared" si="23"/>
        <v>0</v>
      </c>
      <c r="S97" s="107">
        <f t="shared" si="23"/>
        <v>0</v>
      </c>
      <c r="T97" s="107">
        <f t="shared" si="23"/>
        <v>0</v>
      </c>
      <c r="U97" s="107">
        <f t="shared" si="23"/>
        <v>0</v>
      </c>
      <c r="V97" s="107">
        <f t="shared" si="23"/>
        <v>0</v>
      </c>
      <c r="W97" s="107">
        <f t="shared" si="23"/>
        <v>0</v>
      </c>
      <c r="X97" s="107">
        <f t="shared" si="23"/>
        <v>0</v>
      </c>
      <c r="Y97" s="107">
        <f t="shared" si="23"/>
        <v>0</v>
      </c>
      <c r="Z97" s="107">
        <f t="shared" si="23"/>
        <v>2</v>
      </c>
      <c r="AA97" s="107">
        <f t="shared" si="23"/>
        <v>0</v>
      </c>
      <c r="AB97" s="107">
        <f t="shared" si="23"/>
        <v>0</v>
      </c>
      <c r="AC97" s="107">
        <f t="shared" si="23"/>
        <v>0</v>
      </c>
      <c r="AD97" s="107">
        <f t="shared" si="23"/>
        <v>0</v>
      </c>
      <c r="AE97" s="107">
        <f t="shared" si="23"/>
        <v>0</v>
      </c>
      <c r="AF97" s="107">
        <f t="shared" si="23"/>
        <v>0</v>
      </c>
      <c r="AG97" s="107">
        <f t="shared" ref="AG97:AG106" si="24">SUM(F97:AF97)</f>
        <v>2</v>
      </c>
      <c r="AH97" s="8">
        <v>94</v>
      </c>
    </row>
    <row r="98" spans="3:34"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95">
        <f t="shared" si="24"/>
        <v>0</v>
      </c>
      <c r="AH98" s="8">
        <v>95</v>
      </c>
    </row>
    <row r="99" spans="3:34"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95">
        <f t="shared" si="24"/>
        <v>0</v>
      </c>
      <c r="AH99" s="8">
        <v>96</v>
      </c>
    </row>
    <row r="100" spans="3:34"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95">
        <f t="shared" si="24"/>
        <v>0</v>
      </c>
      <c r="AH100" s="8">
        <v>97</v>
      </c>
    </row>
    <row r="101" spans="3:34"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95">
        <f t="shared" si="24"/>
        <v>0</v>
      </c>
      <c r="AH101" s="8">
        <v>98</v>
      </c>
    </row>
    <row r="102" spans="3:34" ht="15" x14ac:dyDescent="0.25">
      <c r="D102" s="8">
        <v>1454</v>
      </c>
      <c r="E102" s="8" t="s">
        <v>376</v>
      </c>
      <c r="F102" s="13">
        <v>0</v>
      </c>
      <c r="G102" s="13">
        <v>0</v>
      </c>
      <c r="H102" s="13">
        <v>0</v>
      </c>
      <c r="I102" s="13">
        <v>0</v>
      </c>
      <c r="J102" s="13">
        <v>0</v>
      </c>
      <c r="K102" s="13">
        <v>0</v>
      </c>
      <c r="L102" s="13">
        <v>0</v>
      </c>
      <c r="M102" s="13">
        <v>0</v>
      </c>
      <c r="N102" s="13">
        <v>0</v>
      </c>
      <c r="O102" s="13">
        <v>0</v>
      </c>
      <c r="P102" s="13">
        <v>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95">
        <f t="shared" si="24"/>
        <v>0</v>
      </c>
      <c r="AH102" s="8">
        <v>99</v>
      </c>
    </row>
    <row r="103" spans="3:34" ht="15" x14ac:dyDescent="0.25">
      <c r="D103" s="8">
        <v>1455</v>
      </c>
      <c r="E103" s="8" t="s">
        <v>377</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2</v>
      </c>
      <c r="AA103" s="13">
        <v>0</v>
      </c>
      <c r="AB103" s="13">
        <v>0</v>
      </c>
      <c r="AC103" s="13">
        <v>0</v>
      </c>
      <c r="AD103" s="13">
        <v>0</v>
      </c>
      <c r="AE103" s="13">
        <v>0</v>
      </c>
      <c r="AF103" s="13">
        <v>0</v>
      </c>
      <c r="AG103" s="95">
        <f t="shared" si="24"/>
        <v>2</v>
      </c>
      <c r="AH103" s="8">
        <v>100</v>
      </c>
    </row>
    <row r="104" spans="3:34"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95">
        <f t="shared" si="24"/>
        <v>0</v>
      </c>
      <c r="AH104" s="8">
        <v>101</v>
      </c>
    </row>
    <row r="105" spans="3:34"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95">
        <f t="shared" si="24"/>
        <v>0</v>
      </c>
      <c r="AH105" s="8">
        <v>102</v>
      </c>
    </row>
    <row r="106" spans="3:34"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95">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5"/>
      <c r="AH107" s="8">
        <v>104</v>
      </c>
    </row>
    <row r="108" spans="3:34" ht="15" x14ac:dyDescent="0.25">
      <c r="C108" s="85">
        <v>146</v>
      </c>
      <c r="D108" s="85"/>
      <c r="E108" s="85" t="s">
        <v>391</v>
      </c>
      <c r="F108" s="107">
        <f>F109+F110+F111+F112+F113+F114+F115+F116+F117+F118</f>
        <v>0</v>
      </c>
      <c r="G108" s="107">
        <f t="shared" ref="G108:AF108" si="25">G109+G110+G111+G112+G113+G114+G115+G116+G117+G118</f>
        <v>0</v>
      </c>
      <c r="H108" s="107">
        <f t="shared" si="25"/>
        <v>0</v>
      </c>
      <c r="I108" s="107">
        <f t="shared" si="25"/>
        <v>0</v>
      </c>
      <c r="J108" s="107">
        <f t="shared" si="25"/>
        <v>0</v>
      </c>
      <c r="K108" s="107">
        <f t="shared" si="25"/>
        <v>0</v>
      </c>
      <c r="L108" s="107">
        <f t="shared" si="25"/>
        <v>0</v>
      </c>
      <c r="M108" s="107">
        <f t="shared" si="25"/>
        <v>0</v>
      </c>
      <c r="N108" s="107">
        <f t="shared" si="25"/>
        <v>0</v>
      </c>
      <c r="O108" s="107">
        <f t="shared" si="25"/>
        <v>0</v>
      </c>
      <c r="P108" s="107">
        <f t="shared" si="25"/>
        <v>0</v>
      </c>
      <c r="Q108" s="107">
        <f t="shared" si="25"/>
        <v>0</v>
      </c>
      <c r="R108" s="107">
        <f t="shared" si="25"/>
        <v>0</v>
      </c>
      <c r="S108" s="107">
        <f t="shared" si="25"/>
        <v>0</v>
      </c>
      <c r="T108" s="107">
        <f t="shared" si="25"/>
        <v>0</v>
      </c>
      <c r="U108" s="107">
        <f t="shared" si="25"/>
        <v>0</v>
      </c>
      <c r="V108" s="107">
        <f t="shared" si="25"/>
        <v>0</v>
      </c>
      <c r="W108" s="107">
        <f t="shared" si="25"/>
        <v>0</v>
      </c>
      <c r="X108" s="107">
        <f t="shared" si="25"/>
        <v>0</v>
      </c>
      <c r="Y108" s="107">
        <f t="shared" si="25"/>
        <v>0</v>
      </c>
      <c r="Z108" s="107">
        <f t="shared" si="25"/>
        <v>0</v>
      </c>
      <c r="AA108" s="107">
        <f t="shared" si="25"/>
        <v>0</v>
      </c>
      <c r="AB108" s="107">
        <v>0</v>
      </c>
      <c r="AC108" s="107">
        <f t="shared" si="25"/>
        <v>0</v>
      </c>
      <c r="AD108" s="107">
        <f t="shared" si="25"/>
        <v>0</v>
      </c>
      <c r="AE108" s="107">
        <f t="shared" si="25"/>
        <v>0</v>
      </c>
      <c r="AF108" s="107">
        <f t="shared" si="25"/>
        <v>0</v>
      </c>
      <c r="AG108" s="107">
        <f t="shared" ref="AG108:AG118" si="26">SUM(F108:AF108)</f>
        <v>0</v>
      </c>
      <c r="AH108" s="8">
        <v>105</v>
      </c>
    </row>
    <row r="109" spans="3:34"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95">
        <f t="shared" si="26"/>
        <v>0</v>
      </c>
      <c r="AH109" s="8">
        <v>106</v>
      </c>
    </row>
    <row r="110" spans="3:34"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95">
        <f t="shared" si="26"/>
        <v>0</v>
      </c>
      <c r="AH110" s="8">
        <v>107</v>
      </c>
    </row>
    <row r="111" spans="3:34"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95">
        <f t="shared" si="26"/>
        <v>0</v>
      </c>
      <c r="AH111" s="8">
        <v>108</v>
      </c>
    </row>
    <row r="112" spans="3:34"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95">
        <f t="shared" si="26"/>
        <v>0</v>
      </c>
      <c r="AH112" s="8">
        <v>109</v>
      </c>
    </row>
    <row r="113" spans="1:34"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95">
        <f t="shared" si="26"/>
        <v>0</v>
      </c>
      <c r="AH113" s="8">
        <v>110</v>
      </c>
    </row>
    <row r="114" spans="1:34"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95">
        <f t="shared" si="26"/>
        <v>0</v>
      </c>
      <c r="AH114" s="8">
        <v>111</v>
      </c>
    </row>
    <row r="115" spans="1:34"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v>0</v>
      </c>
      <c r="AG115" s="95">
        <f t="shared" si="26"/>
        <v>0</v>
      </c>
      <c r="AH115" s="8">
        <v>112</v>
      </c>
    </row>
    <row r="116" spans="1:34"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95">
        <f t="shared" si="26"/>
        <v>0</v>
      </c>
      <c r="AH116" s="8">
        <v>113</v>
      </c>
    </row>
    <row r="117" spans="1:34"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95">
        <f t="shared" si="26"/>
        <v>0</v>
      </c>
      <c r="AH117" s="8">
        <v>114</v>
      </c>
    </row>
    <row r="118" spans="1:34"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95">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5"/>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5"/>
      <c r="AH120" s="8">
        <v>117</v>
      </c>
    </row>
    <row r="121" spans="1:34" ht="20.25" x14ac:dyDescent="0.3">
      <c r="A121" s="21">
        <v>2</v>
      </c>
      <c r="B121" s="21"/>
      <c r="C121" s="21"/>
      <c r="D121" s="21"/>
      <c r="E121" s="21" t="s">
        <v>247</v>
      </c>
      <c r="F121" s="120">
        <f>F123+F133+F143+F153+F165+F173+F184+F191+F194+F198+F201+F204+F207+F210+F213+F216</f>
        <v>3693418.1599999997</v>
      </c>
      <c r="G121" s="120">
        <f t="shared" ref="G121:AF121" si="27">G123+G133+G143+G153+G165+G173+G184+G191+G194+G198+G201+G204+G207+G210+G213+G216</f>
        <v>66180704.769999996</v>
      </c>
      <c r="H121" s="120">
        <f t="shared" si="27"/>
        <v>273475.06</v>
      </c>
      <c r="I121" s="120">
        <f t="shared" si="27"/>
        <v>15855353.41</v>
      </c>
      <c r="J121" s="120">
        <f t="shared" si="27"/>
        <v>1842352.2</v>
      </c>
      <c r="K121" s="120">
        <f t="shared" si="27"/>
        <v>3386960.27</v>
      </c>
      <c r="L121" s="120">
        <f t="shared" si="27"/>
        <v>882451.90999999992</v>
      </c>
      <c r="M121" s="120">
        <f t="shared" si="27"/>
        <v>4890786.57</v>
      </c>
      <c r="N121" s="120">
        <f t="shared" si="27"/>
        <v>84342.56</v>
      </c>
      <c r="O121" s="120">
        <f t="shared" si="27"/>
        <v>252969.53000000003</v>
      </c>
      <c r="P121" s="120">
        <f t="shared" si="27"/>
        <v>12605681.949999999</v>
      </c>
      <c r="Q121" s="120">
        <f t="shared" si="27"/>
        <v>87099.05</v>
      </c>
      <c r="R121" s="120">
        <f t="shared" si="27"/>
        <v>25686.04</v>
      </c>
      <c r="S121" s="120">
        <f t="shared" si="27"/>
        <v>40062.01</v>
      </c>
      <c r="T121" s="120">
        <f t="shared" si="27"/>
        <v>5238.6500000000005</v>
      </c>
      <c r="U121" s="120">
        <f t="shared" si="27"/>
        <v>1629123.5100000002</v>
      </c>
      <c r="V121" s="120">
        <f t="shared" si="27"/>
        <v>3274922.78</v>
      </c>
      <c r="W121" s="120">
        <f t="shared" si="27"/>
        <v>1378439.6600000001</v>
      </c>
      <c r="X121" s="120">
        <f t="shared" si="27"/>
        <v>32684.9</v>
      </c>
      <c r="Y121" s="120">
        <f t="shared" si="27"/>
        <v>3914266.75</v>
      </c>
      <c r="Z121" s="120">
        <f t="shared" si="27"/>
        <v>22752726.369999997</v>
      </c>
      <c r="AA121" s="120">
        <f t="shared" si="27"/>
        <v>2230784.6100000003</v>
      </c>
      <c r="AB121" s="120">
        <f t="shared" si="27"/>
        <v>7121545.0899999999</v>
      </c>
      <c r="AC121" s="120">
        <f t="shared" si="27"/>
        <v>302346.57</v>
      </c>
      <c r="AD121" s="120">
        <f t="shared" si="27"/>
        <v>154800.25</v>
      </c>
      <c r="AE121" s="120">
        <f t="shared" si="27"/>
        <v>8180039.8099999996</v>
      </c>
      <c r="AF121" s="120">
        <f t="shared" si="27"/>
        <v>953671.53</v>
      </c>
      <c r="AG121" s="22">
        <f t="shared" ref="AG121:AG131" si="28">SUM(F121:AF121)</f>
        <v>162031933.97000003</v>
      </c>
      <c r="AH121" s="8">
        <v>118</v>
      </c>
    </row>
    <row r="122" spans="1:34" ht="15" x14ac:dyDescent="0.25">
      <c r="A122" s="7"/>
      <c r="B122" s="121">
        <v>20</v>
      </c>
      <c r="C122" s="121"/>
      <c r="D122" s="121"/>
      <c r="E122" s="121" t="s">
        <v>248</v>
      </c>
      <c r="F122" s="122">
        <f>F123+F133+F143+F153+F165+F173+F184</f>
        <v>2925235.9499999997</v>
      </c>
      <c r="G122" s="122">
        <f t="shared" ref="G122:AF122" si="29">G123+G133+G143+G153+G165+G173+G184</f>
        <v>488651.95000000007</v>
      </c>
      <c r="H122" s="122">
        <f t="shared" si="29"/>
        <v>6980</v>
      </c>
      <c r="I122" s="122">
        <f t="shared" si="29"/>
        <v>3370842.6</v>
      </c>
      <c r="J122" s="122">
        <f t="shared" si="29"/>
        <v>1842352.2</v>
      </c>
      <c r="K122" s="122">
        <f t="shared" si="29"/>
        <v>2735019.75</v>
      </c>
      <c r="L122" s="122">
        <f t="shared" si="29"/>
        <v>882451.90999999992</v>
      </c>
      <c r="M122" s="122">
        <f t="shared" si="29"/>
        <v>4297632.83</v>
      </c>
      <c r="N122" s="122">
        <f t="shared" si="29"/>
        <v>84342.56</v>
      </c>
      <c r="O122" s="122">
        <f t="shared" si="29"/>
        <v>231628.27000000002</v>
      </c>
      <c r="P122" s="122">
        <f t="shared" si="29"/>
        <v>106933.74999999999</v>
      </c>
      <c r="Q122" s="122">
        <f t="shared" si="29"/>
        <v>5461</v>
      </c>
      <c r="R122" s="122">
        <f t="shared" si="29"/>
        <v>23115.45</v>
      </c>
      <c r="S122" s="122">
        <f t="shared" si="29"/>
        <v>-332.7</v>
      </c>
      <c r="T122" s="122">
        <f t="shared" si="29"/>
        <v>0</v>
      </c>
      <c r="U122" s="122">
        <f t="shared" si="29"/>
        <v>674019.29</v>
      </c>
      <c r="V122" s="122">
        <f t="shared" si="29"/>
        <v>2613048.23</v>
      </c>
      <c r="W122" s="122">
        <f t="shared" si="29"/>
        <v>1368039.9100000001</v>
      </c>
      <c r="X122" s="122">
        <f t="shared" si="29"/>
        <v>3624.75</v>
      </c>
      <c r="Y122" s="122">
        <f t="shared" si="29"/>
        <v>901187.16</v>
      </c>
      <c r="Z122" s="122">
        <f t="shared" si="29"/>
        <v>19685403.859999999</v>
      </c>
      <c r="AA122" s="122">
        <f t="shared" si="29"/>
        <v>1926725.09</v>
      </c>
      <c r="AB122" s="122">
        <f t="shared" si="29"/>
        <v>4367536.05</v>
      </c>
      <c r="AC122" s="122">
        <f t="shared" si="29"/>
        <v>0</v>
      </c>
      <c r="AD122" s="122">
        <f t="shared" si="29"/>
        <v>4800.25</v>
      </c>
      <c r="AE122" s="122">
        <f t="shared" si="29"/>
        <v>7669130.3799999999</v>
      </c>
      <c r="AF122" s="122">
        <f t="shared" si="29"/>
        <v>290227.05</v>
      </c>
      <c r="AG122" s="122">
        <f t="shared" si="28"/>
        <v>56504057.539999999</v>
      </c>
      <c r="AH122" s="8">
        <v>119</v>
      </c>
    </row>
    <row r="123" spans="1:34" ht="15" x14ac:dyDescent="0.25">
      <c r="C123" s="123">
        <v>200</v>
      </c>
      <c r="D123" s="123"/>
      <c r="E123" s="123" t="s">
        <v>249</v>
      </c>
      <c r="F123" s="124">
        <f>F124+F125+F126+F127+F128+F129+F130+F131</f>
        <v>116858.95</v>
      </c>
      <c r="G123" s="124">
        <f t="shared" ref="G123:AF123" si="30">G124+G125+G126+G127+G128+G129+G130+G131</f>
        <v>300850.43000000005</v>
      </c>
      <c r="H123" s="124">
        <f t="shared" si="30"/>
        <v>0</v>
      </c>
      <c r="I123" s="124">
        <f t="shared" si="30"/>
        <v>3120842.6</v>
      </c>
      <c r="J123" s="124">
        <f t="shared" si="30"/>
        <v>55092.2</v>
      </c>
      <c r="K123" s="124">
        <f t="shared" si="30"/>
        <v>96740.2</v>
      </c>
      <c r="L123" s="124">
        <f t="shared" si="30"/>
        <v>365783.86</v>
      </c>
      <c r="M123" s="124">
        <f t="shared" si="30"/>
        <v>186892.44999999998</v>
      </c>
      <c r="N123" s="124">
        <f t="shared" si="30"/>
        <v>8803.75</v>
      </c>
      <c r="O123" s="124">
        <f t="shared" si="30"/>
        <v>0</v>
      </c>
      <c r="P123" s="124">
        <f t="shared" si="30"/>
        <v>105641.34999999999</v>
      </c>
      <c r="Q123" s="124">
        <f t="shared" si="30"/>
        <v>5461</v>
      </c>
      <c r="R123" s="124">
        <f t="shared" si="30"/>
        <v>0</v>
      </c>
      <c r="S123" s="124">
        <f t="shared" si="30"/>
        <v>0</v>
      </c>
      <c r="T123" s="124">
        <f t="shared" si="30"/>
        <v>0</v>
      </c>
      <c r="U123" s="124">
        <f t="shared" si="30"/>
        <v>30883.629999999997</v>
      </c>
      <c r="V123" s="124">
        <f t="shared" si="30"/>
        <v>18048.23</v>
      </c>
      <c r="W123" s="124">
        <f t="shared" si="30"/>
        <v>0</v>
      </c>
      <c r="X123" s="124">
        <f t="shared" si="30"/>
        <v>0</v>
      </c>
      <c r="Y123" s="124">
        <f t="shared" si="30"/>
        <v>123381.62000000001</v>
      </c>
      <c r="Z123" s="124">
        <f t="shared" si="30"/>
        <v>646698.68999999994</v>
      </c>
      <c r="AA123" s="124">
        <f t="shared" si="30"/>
        <v>0</v>
      </c>
      <c r="AB123" s="124">
        <f t="shared" si="30"/>
        <v>321288.05</v>
      </c>
      <c r="AC123" s="124">
        <f t="shared" si="30"/>
        <v>0</v>
      </c>
      <c r="AD123" s="124">
        <f t="shared" si="30"/>
        <v>0</v>
      </c>
      <c r="AE123" s="124">
        <f t="shared" si="30"/>
        <v>279189.48</v>
      </c>
      <c r="AF123" s="124">
        <f t="shared" si="30"/>
        <v>10702.8</v>
      </c>
      <c r="AG123" s="124">
        <f t="shared" si="28"/>
        <v>5793159.29</v>
      </c>
      <c r="AH123" s="8">
        <v>120</v>
      </c>
    </row>
    <row r="124" spans="1:34" ht="15" x14ac:dyDescent="0.25">
      <c r="D124" s="8">
        <v>2000</v>
      </c>
      <c r="E124" s="8" t="s">
        <v>392</v>
      </c>
      <c r="F124" s="13">
        <v>116858.95</v>
      </c>
      <c r="G124" s="13">
        <v>300357.78000000003</v>
      </c>
      <c r="H124" s="13">
        <v>0</v>
      </c>
      <c r="I124" s="13">
        <v>1364684.35</v>
      </c>
      <c r="J124" s="13">
        <v>55092.2</v>
      </c>
      <c r="K124" s="13">
        <v>96740.2</v>
      </c>
      <c r="L124" s="13">
        <v>63307.7</v>
      </c>
      <c r="M124" s="13">
        <v>186874.61</v>
      </c>
      <c r="N124" s="13">
        <v>0</v>
      </c>
      <c r="O124" s="13">
        <v>0</v>
      </c>
      <c r="P124" s="13">
        <v>107361.7</v>
      </c>
      <c r="Q124" s="13">
        <v>5461</v>
      </c>
      <c r="R124" s="13">
        <v>0</v>
      </c>
      <c r="S124" s="13">
        <v>0</v>
      </c>
      <c r="T124" s="13">
        <v>0</v>
      </c>
      <c r="U124" s="13">
        <v>18825.099999999999</v>
      </c>
      <c r="V124" s="13">
        <v>18048.23</v>
      </c>
      <c r="W124" s="13">
        <v>0</v>
      </c>
      <c r="X124" s="13">
        <v>0</v>
      </c>
      <c r="Y124" s="13">
        <v>119339.57</v>
      </c>
      <c r="Z124" s="13">
        <v>647430.19999999995</v>
      </c>
      <c r="AA124" s="13">
        <v>0</v>
      </c>
      <c r="AB124" s="13">
        <v>321288.05</v>
      </c>
      <c r="AC124" s="13">
        <v>0</v>
      </c>
      <c r="AD124" s="13">
        <v>0</v>
      </c>
      <c r="AE124" s="13">
        <v>235756.48</v>
      </c>
      <c r="AF124" s="13">
        <v>10702.8</v>
      </c>
      <c r="AG124" s="95">
        <f t="shared" si="28"/>
        <v>3668128.9199999995</v>
      </c>
      <c r="AH124" s="8">
        <v>121</v>
      </c>
    </row>
    <row r="125" spans="1:34" ht="15" x14ac:dyDescent="0.25">
      <c r="D125" s="8">
        <v>2001</v>
      </c>
      <c r="E125" s="8" t="s">
        <v>393</v>
      </c>
      <c r="F125" s="13">
        <v>0</v>
      </c>
      <c r="G125" s="13">
        <v>-13197.55</v>
      </c>
      <c r="H125" s="13">
        <v>0</v>
      </c>
      <c r="I125" s="13">
        <v>0</v>
      </c>
      <c r="J125" s="13">
        <v>0</v>
      </c>
      <c r="K125" s="13">
        <v>0</v>
      </c>
      <c r="L125" s="13">
        <v>0</v>
      </c>
      <c r="M125" s="13">
        <v>0</v>
      </c>
      <c r="N125" s="13">
        <v>8803.75</v>
      </c>
      <c r="O125" s="13">
        <v>0</v>
      </c>
      <c r="P125" s="13">
        <v>-1720.35</v>
      </c>
      <c r="Q125" s="13">
        <v>0</v>
      </c>
      <c r="R125" s="13">
        <v>0</v>
      </c>
      <c r="S125" s="13">
        <v>0</v>
      </c>
      <c r="T125" s="13">
        <v>0</v>
      </c>
      <c r="U125" s="13">
        <v>3212.75</v>
      </c>
      <c r="V125" s="13">
        <v>0</v>
      </c>
      <c r="W125" s="13">
        <v>0</v>
      </c>
      <c r="X125" s="13">
        <v>0</v>
      </c>
      <c r="Y125" s="13">
        <v>0</v>
      </c>
      <c r="Z125" s="13">
        <v>0</v>
      </c>
      <c r="AA125" s="13">
        <v>0</v>
      </c>
      <c r="AB125" s="13">
        <v>0</v>
      </c>
      <c r="AC125" s="13">
        <v>0</v>
      </c>
      <c r="AD125" s="13">
        <v>0</v>
      </c>
      <c r="AE125" s="13">
        <v>19</v>
      </c>
      <c r="AF125" s="13">
        <v>0</v>
      </c>
      <c r="AG125" s="95">
        <f t="shared" si="28"/>
        <v>-2882.3999999999996</v>
      </c>
      <c r="AH125" s="8">
        <v>122</v>
      </c>
    </row>
    <row r="126" spans="1:34" ht="15" x14ac:dyDescent="0.25">
      <c r="D126" s="8">
        <v>2002</v>
      </c>
      <c r="E126" s="8" t="s">
        <v>394</v>
      </c>
      <c r="F126" s="13">
        <v>0</v>
      </c>
      <c r="G126" s="13">
        <v>13690.2</v>
      </c>
      <c r="H126" s="13">
        <v>0</v>
      </c>
      <c r="I126" s="13">
        <v>0</v>
      </c>
      <c r="J126" s="13">
        <v>0</v>
      </c>
      <c r="K126" s="13">
        <v>0</v>
      </c>
      <c r="L126" s="13">
        <v>0</v>
      </c>
      <c r="M126" s="13">
        <v>17.84</v>
      </c>
      <c r="N126" s="13">
        <v>0</v>
      </c>
      <c r="O126" s="13">
        <v>0</v>
      </c>
      <c r="P126" s="13">
        <v>0</v>
      </c>
      <c r="Q126" s="13">
        <v>0</v>
      </c>
      <c r="R126" s="13">
        <v>0</v>
      </c>
      <c r="S126" s="13">
        <v>0</v>
      </c>
      <c r="T126" s="13">
        <v>0</v>
      </c>
      <c r="U126" s="13">
        <v>8845.7800000000007</v>
      </c>
      <c r="V126" s="13">
        <v>0</v>
      </c>
      <c r="W126" s="13">
        <v>0</v>
      </c>
      <c r="X126" s="13">
        <v>0</v>
      </c>
      <c r="Y126" s="13">
        <v>4042.05</v>
      </c>
      <c r="Z126" s="13">
        <v>-731.51</v>
      </c>
      <c r="AA126" s="13">
        <v>0</v>
      </c>
      <c r="AB126" s="13">
        <v>0</v>
      </c>
      <c r="AC126" s="13">
        <v>0</v>
      </c>
      <c r="AD126" s="13">
        <v>0</v>
      </c>
      <c r="AE126" s="13">
        <v>0</v>
      </c>
      <c r="AF126" s="13">
        <v>0</v>
      </c>
      <c r="AG126" s="95">
        <f t="shared" si="28"/>
        <v>25864.36</v>
      </c>
      <c r="AH126" s="8">
        <v>123</v>
      </c>
    </row>
    <row r="127" spans="1:34" ht="15" x14ac:dyDescent="0.25">
      <c r="D127" s="8">
        <v>2003</v>
      </c>
      <c r="E127" s="8" t="s">
        <v>395</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95">
        <f t="shared" si="28"/>
        <v>0</v>
      </c>
      <c r="AH127" s="8">
        <v>124</v>
      </c>
    </row>
    <row r="128" spans="1:34" ht="15" x14ac:dyDescent="0.25">
      <c r="D128" s="8">
        <v>2004</v>
      </c>
      <c r="E128" s="8" t="s">
        <v>396</v>
      </c>
      <c r="F128" s="13">
        <v>0</v>
      </c>
      <c r="G128" s="13">
        <v>0</v>
      </c>
      <c r="H128" s="13">
        <v>0</v>
      </c>
      <c r="I128" s="13">
        <v>1684937.6</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95">
        <f t="shared" si="28"/>
        <v>1684937.6</v>
      </c>
      <c r="AH128" s="8">
        <v>125</v>
      </c>
    </row>
    <row r="129" spans="3:34" ht="15" x14ac:dyDescent="0.25">
      <c r="D129" s="8">
        <v>2005</v>
      </c>
      <c r="E129" s="8" t="s">
        <v>317</v>
      </c>
      <c r="F129" s="13">
        <v>0</v>
      </c>
      <c r="G129" s="13">
        <v>0</v>
      </c>
      <c r="H129" s="13">
        <v>0</v>
      </c>
      <c r="I129" s="13">
        <v>0</v>
      </c>
      <c r="J129" s="13">
        <v>0</v>
      </c>
      <c r="K129" s="13">
        <v>0</v>
      </c>
      <c r="L129" s="13">
        <v>302476.15999999997</v>
      </c>
      <c r="M129" s="13">
        <v>0</v>
      </c>
      <c r="N129" s="13">
        <v>0</v>
      </c>
      <c r="O129" s="13">
        <v>0</v>
      </c>
      <c r="P129" s="13">
        <v>0</v>
      </c>
      <c r="Q129" s="13">
        <v>0</v>
      </c>
      <c r="R129" s="13">
        <v>0</v>
      </c>
      <c r="S129" s="13">
        <v>0</v>
      </c>
      <c r="T129" s="13">
        <v>0</v>
      </c>
      <c r="U129" s="13">
        <v>0</v>
      </c>
      <c r="V129" s="13">
        <v>0</v>
      </c>
      <c r="W129" s="13">
        <v>0</v>
      </c>
      <c r="X129" s="13">
        <v>0</v>
      </c>
      <c r="Y129" s="13">
        <v>0</v>
      </c>
      <c r="Z129" s="13">
        <v>0</v>
      </c>
      <c r="AA129" s="13">
        <v>0</v>
      </c>
      <c r="AB129" s="13">
        <v>0</v>
      </c>
      <c r="AC129" s="13">
        <v>0</v>
      </c>
      <c r="AD129" s="13">
        <v>0</v>
      </c>
      <c r="AE129" s="13">
        <v>5164</v>
      </c>
      <c r="AF129" s="13">
        <v>0</v>
      </c>
      <c r="AG129" s="95">
        <f t="shared" si="28"/>
        <v>307640.15999999997</v>
      </c>
      <c r="AH129" s="8">
        <v>126</v>
      </c>
    </row>
    <row r="130" spans="3:34" ht="15" x14ac:dyDescent="0.25">
      <c r="D130" s="8">
        <v>2006</v>
      </c>
      <c r="E130" s="8" t="s">
        <v>441</v>
      </c>
      <c r="F130" s="13">
        <v>0</v>
      </c>
      <c r="G130" s="13">
        <v>0</v>
      </c>
      <c r="H130" s="13">
        <v>0</v>
      </c>
      <c r="I130" s="13">
        <v>71220.649999999994</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38250</v>
      </c>
      <c r="AF130" s="13">
        <v>0</v>
      </c>
      <c r="AG130" s="95">
        <f t="shared" si="28"/>
        <v>109470.65</v>
      </c>
      <c r="AH130" s="8">
        <v>127</v>
      </c>
    </row>
    <row r="131" spans="3:34"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95">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5"/>
      <c r="AH132" s="8">
        <v>129</v>
      </c>
    </row>
    <row r="133" spans="3:34" ht="15" x14ac:dyDescent="0.25">
      <c r="C133" s="123">
        <v>201</v>
      </c>
      <c r="D133" s="123"/>
      <c r="E133" s="123" t="s">
        <v>250</v>
      </c>
      <c r="F133" s="124">
        <f>F134+F135+F136+F137+F138+F139+F140+F141</f>
        <v>0</v>
      </c>
      <c r="G133" s="124">
        <f t="shared" ref="G133:AF133" si="31">G134+G135+G136+G137+G138+G139+G140+G141</f>
        <v>0</v>
      </c>
      <c r="H133" s="124">
        <f t="shared" si="31"/>
        <v>0</v>
      </c>
      <c r="I133" s="124">
        <f t="shared" si="31"/>
        <v>0</v>
      </c>
      <c r="J133" s="124">
        <f t="shared" si="31"/>
        <v>0</v>
      </c>
      <c r="K133" s="124">
        <f t="shared" si="31"/>
        <v>348400</v>
      </c>
      <c r="L133" s="124">
        <f t="shared" si="31"/>
        <v>0</v>
      </c>
      <c r="M133" s="124">
        <f t="shared" si="31"/>
        <v>643085.38</v>
      </c>
      <c r="N133" s="124">
        <f t="shared" si="31"/>
        <v>0</v>
      </c>
      <c r="O133" s="124">
        <f t="shared" si="31"/>
        <v>28234.27</v>
      </c>
      <c r="P133" s="124">
        <f t="shared" si="31"/>
        <v>0</v>
      </c>
      <c r="Q133" s="124">
        <f t="shared" si="31"/>
        <v>0</v>
      </c>
      <c r="R133" s="124">
        <f t="shared" si="31"/>
        <v>0</v>
      </c>
      <c r="S133" s="124">
        <f t="shared" si="31"/>
        <v>0</v>
      </c>
      <c r="T133" s="124">
        <f t="shared" si="31"/>
        <v>0</v>
      </c>
      <c r="U133" s="124">
        <f t="shared" si="31"/>
        <v>223373.95</v>
      </c>
      <c r="V133" s="124">
        <f t="shared" si="31"/>
        <v>0</v>
      </c>
      <c r="W133" s="124">
        <f t="shared" si="31"/>
        <v>868039.91</v>
      </c>
      <c r="X133" s="124">
        <f t="shared" si="31"/>
        <v>0</v>
      </c>
      <c r="Y133" s="124">
        <f t="shared" si="31"/>
        <v>628705.54</v>
      </c>
      <c r="Z133" s="124">
        <f t="shared" si="31"/>
        <v>2513742.14</v>
      </c>
      <c r="AA133" s="124">
        <f t="shared" si="31"/>
        <v>0</v>
      </c>
      <c r="AB133" s="124">
        <f t="shared" si="31"/>
        <v>509500</v>
      </c>
      <c r="AC133" s="124">
        <f t="shared" si="31"/>
        <v>0</v>
      </c>
      <c r="AD133" s="124">
        <f t="shared" si="31"/>
        <v>0</v>
      </c>
      <c r="AE133" s="124">
        <f t="shared" si="31"/>
        <v>250000</v>
      </c>
      <c r="AF133" s="124">
        <f t="shared" si="31"/>
        <v>0</v>
      </c>
      <c r="AG133" s="124">
        <f t="shared" ref="AG133:AG141" si="32">SUM(F133:AF133)</f>
        <v>6013081.1900000004</v>
      </c>
      <c r="AH133" s="8">
        <v>130</v>
      </c>
    </row>
    <row r="134" spans="3:34" ht="15" x14ac:dyDescent="0.25">
      <c r="D134" s="8">
        <v>2010</v>
      </c>
      <c r="E134" s="8" t="s">
        <v>399</v>
      </c>
      <c r="F134" s="13">
        <v>0</v>
      </c>
      <c r="G134" s="13">
        <v>0</v>
      </c>
      <c r="H134" s="13">
        <v>0</v>
      </c>
      <c r="I134" s="13">
        <v>0</v>
      </c>
      <c r="J134" s="13">
        <v>0</v>
      </c>
      <c r="K134" s="13">
        <v>0</v>
      </c>
      <c r="L134" s="13">
        <v>0</v>
      </c>
      <c r="M134" s="13">
        <v>643085.38</v>
      </c>
      <c r="N134" s="13">
        <v>0</v>
      </c>
      <c r="O134" s="13">
        <v>0</v>
      </c>
      <c r="P134" s="13">
        <v>0</v>
      </c>
      <c r="Q134" s="13">
        <v>0</v>
      </c>
      <c r="R134" s="13">
        <v>0</v>
      </c>
      <c r="S134" s="13">
        <v>0</v>
      </c>
      <c r="T134" s="13">
        <v>0</v>
      </c>
      <c r="U134" s="13">
        <v>0</v>
      </c>
      <c r="V134" s="13">
        <v>0</v>
      </c>
      <c r="W134" s="13">
        <v>504806.46</v>
      </c>
      <c r="X134" s="13">
        <v>0</v>
      </c>
      <c r="Y134" s="13">
        <v>607405.54</v>
      </c>
      <c r="Z134" s="13">
        <v>2513742.14</v>
      </c>
      <c r="AA134" s="13">
        <v>0</v>
      </c>
      <c r="AB134" s="13">
        <v>0</v>
      </c>
      <c r="AC134" s="13">
        <v>0</v>
      </c>
      <c r="AD134" s="13">
        <v>0</v>
      </c>
      <c r="AE134" s="13">
        <v>0</v>
      </c>
      <c r="AF134" s="13">
        <v>0</v>
      </c>
      <c r="AG134" s="95">
        <f t="shared" si="32"/>
        <v>4269039.5200000005</v>
      </c>
      <c r="AH134" s="8">
        <v>131</v>
      </c>
    </row>
    <row r="135" spans="3:34" ht="15" x14ac:dyDescent="0.25">
      <c r="D135" s="8">
        <v>2011</v>
      </c>
      <c r="E135" s="8" t="s">
        <v>400</v>
      </c>
      <c r="F135" s="13">
        <v>0</v>
      </c>
      <c r="G135" s="13">
        <v>0</v>
      </c>
      <c r="H135" s="13">
        <v>0</v>
      </c>
      <c r="I135" s="13">
        <v>0</v>
      </c>
      <c r="J135" s="13">
        <v>0</v>
      </c>
      <c r="K135" s="13">
        <v>0</v>
      </c>
      <c r="L135" s="13">
        <v>0</v>
      </c>
      <c r="M135" s="13">
        <v>0</v>
      </c>
      <c r="N135" s="13">
        <v>0</v>
      </c>
      <c r="O135" s="13">
        <v>28234.27</v>
      </c>
      <c r="P135" s="13">
        <v>0</v>
      </c>
      <c r="Q135" s="13">
        <v>0</v>
      </c>
      <c r="R135" s="13">
        <v>0</v>
      </c>
      <c r="S135" s="13">
        <v>0</v>
      </c>
      <c r="T135" s="13">
        <v>0</v>
      </c>
      <c r="U135" s="13">
        <v>223373.95</v>
      </c>
      <c r="V135" s="13">
        <v>0</v>
      </c>
      <c r="W135" s="13">
        <v>363233.45</v>
      </c>
      <c r="X135" s="13">
        <v>0</v>
      </c>
      <c r="Y135" s="13">
        <v>0</v>
      </c>
      <c r="Z135" s="13">
        <v>0</v>
      </c>
      <c r="AA135" s="13">
        <v>0</v>
      </c>
      <c r="AB135" s="13">
        <v>0</v>
      </c>
      <c r="AC135" s="13">
        <v>0</v>
      </c>
      <c r="AD135" s="13">
        <v>0</v>
      </c>
      <c r="AE135" s="13">
        <v>0</v>
      </c>
      <c r="AF135" s="13">
        <v>0</v>
      </c>
      <c r="AG135" s="95">
        <f t="shared" si="32"/>
        <v>614841.67000000004</v>
      </c>
      <c r="AH135" s="8">
        <v>132</v>
      </c>
    </row>
    <row r="136" spans="3:34"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95">
        <f t="shared" si="32"/>
        <v>0</v>
      </c>
      <c r="AH136" s="8">
        <v>133</v>
      </c>
    </row>
    <row r="137" spans="3:34"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21300</v>
      </c>
      <c r="Z137" s="13">
        <v>0</v>
      </c>
      <c r="AA137" s="13">
        <v>0</v>
      </c>
      <c r="AB137" s="13">
        <v>0</v>
      </c>
      <c r="AC137" s="13">
        <v>0</v>
      </c>
      <c r="AD137" s="13">
        <v>0</v>
      </c>
      <c r="AE137" s="13">
        <v>0</v>
      </c>
      <c r="AF137" s="13">
        <v>0</v>
      </c>
      <c r="AG137" s="95">
        <f t="shared" si="32"/>
        <v>21300</v>
      </c>
      <c r="AH137" s="8">
        <v>134</v>
      </c>
    </row>
    <row r="138" spans="3:34" ht="15" x14ac:dyDescent="0.25">
      <c r="D138" s="8">
        <v>2014</v>
      </c>
      <c r="E138" s="8" t="s">
        <v>404</v>
      </c>
      <c r="F138" s="13">
        <v>0</v>
      </c>
      <c r="G138" s="13">
        <v>0</v>
      </c>
      <c r="H138" s="13">
        <v>0</v>
      </c>
      <c r="I138" s="13">
        <v>0</v>
      </c>
      <c r="J138" s="13">
        <v>0</v>
      </c>
      <c r="K138" s="13">
        <v>348400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509500</v>
      </c>
      <c r="AC138" s="13">
        <v>0</v>
      </c>
      <c r="AD138" s="13">
        <v>0</v>
      </c>
      <c r="AE138" s="13">
        <v>250000</v>
      </c>
      <c r="AF138" s="13">
        <v>0</v>
      </c>
      <c r="AG138" s="95">
        <f t="shared" si="32"/>
        <v>1107900</v>
      </c>
      <c r="AH138" s="8">
        <v>135</v>
      </c>
    </row>
    <row r="139" spans="3:34"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95">
        <f t="shared" si="32"/>
        <v>0</v>
      </c>
      <c r="AH139" s="8">
        <v>136</v>
      </c>
    </row>
    <row r="140" spans="3:34"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95">
        <f t="shared" si="32"/>
        <v>0</v>
      </c>
      <c r="AH140" s="8">
        <v>137</v>
      </c>
    </row>
    <row r="141" spans="3:34"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95">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5"/>
      <c r="AH142" s="8">
        <v>139</v>
      </c>
    </row>
    <row r="143" spans="3:34" ht="15" x14ac:dyDescent="0.25">
      <c r="C143" s="123">
        <v>204</v>
      </c>
      <c r="D143" s="123"/>
      <c r="E143" s="123" t="s">
        <v>251</v>
      </c>
      <c r="F143" s="124">
        <f>F144+F145+F146+F147+F148+F149+F150+F151</f>
        <v>58150.45</v>
      </c>
      <c r="G143" s="124">
        <f t="shared" ref="G143:AF143" si="33">G144+G145+G146+G147+G148+G149+G150+G151</f>
        <v>187801.52</v>
      </c>
      <c r="H143" s="124">
        <f t="shared" si="33"/>
        <v>6980</v>
      </c>
      <c r="I143" s="124">
        <f t="shared" si="33"/>
        <v>0</v>
      </c>
      <c r="J143" s="124">
        <f t="shared" si="33"/>
        <v>0</v>
      </c>
      <c r="K143" s="124">
        <f t="shared" si="33"/>
        <v>0</v>
      </c>
      <c r="L143" s="124">
        <f t="shared" si="33"/>
        <v>16668.05</v>
      </c>
      <c r="M143" s="124">
        <f t="shared" si="33"/>
        <v>500</v>
      </c>
      <c r="N143" s="124">
        <f t="shared" si="33"/>
        <v>62297.41</v>
      </c>
      <c r="O143" s="124">
        <f t="shared" si="33"/>
        <v>97394</v>
      </c>
      <c r="P143" s="124">
        <f t="shared" si="33"/>
        <v>1292.4000000000001</v>
      </c>
      <c r="Q143" s="124">
        <f t="shared" si="33"/>
        <v>0</v>
      </c>
      <c r="R143" s="124">
        <f t="shared" si="33"/>
        <v>3915.45</v>
      </c>
      <c r="S143" s="124">
        <f t="shared" si="33"/>
        <v>-332.7</v>
      </c>
      <c r="T143" s="124">
        <f t="shared" si="33"/>
        <v>0</v>
      </c>
      <c r="U143" s="124">
        <f t="shared" si="33"/>
        <v>7888.6</v>
      </c>
      <c r="V143" s="124">
        <f t="shared" si="33"/>
        <v>0</v>
      </c>
      <c r="W143" s="124">
        <f t="shared" si="33"/>
        <v>0</v>
      </c>
      <c r="X143" s="124">
        <f t="shared" si="33"/>
        <v>3624.75</v>
      </c>
      <c r="Y143" s="124">
        <f t="shared" si="33"/>
        <v>0</v>
      </c>
      <c r="Z143" s="124">
        <f t="shared" si="33"/>
        <v>202701.4</v>
      </c>
      <c r="AA143" s="124">
        <f t="shared" si="33"/>
        <v>19889.29</v>
      </c>
      <c r="AB143" s="124">
        <f t="shared" si="33"/>
        <v>28248</v>
      </c>
      <c r="AC143" s="124">
        <f t="shared" si="33"/>
        <v>0</v>
      </c>
      <c r="AD143" s="124">
        <f t="shared" si="33"/>
        <v>4800.25</v>
      </c>
      <c r="AE143" s="124">
        <f t="shared" si="33"/>
        <v>26440.9</v>
      </c>
      <c r="AF143" s="124">
        <f t="shared" si="33"/>
        <v>279524.25</v>
      </c>
      <c r="AG143" s="124">
        <f t="shared" ref="AG143:AG151" si="34">SUM(F143:AF143)</f>
        <v>1007784.02</v>
      </c>
      <c r="AH143" s="8">
        <v>140</v>
      </c>
    </row>
    <row r="144" spans="3:34" ht="15" x14ac:dyDescent="0.25">
      <c r="D144" s="8">
        <v>2040</v>
      </c>
      <c r="E144" s="8" t="s">
        <v>60</v>
      </c>
      <c r="F144" s="13">
        <v>1152.3</v>
      </c>
      <c r="G144" s="13">
        <v>0</v>
      </c>
      <c r="H144" s="13">
        <v>1200</v>
      </c>
      <c r="I144" s="13">
        <v>0</v>
      </c>
      <c r="J144" s="13">
        <v>0</v>
      </c>
      <c r="K144" s="13">
        <v>0</v>
      </c>
      <c r="L144" s="13">
        <v>0</v>
      </c>
      <c r="M144" s="13">
        <v>0</v>
      </c>
      <c r="N144" s="13">
        <v>0</v>
      </c>
      <c r="O144" s="13">
        <v>173.15</v>
      </c>
      <c r="P144" s="13">
        <v>0</v>
      </c>
      <c r="Q144" s="13">
        <v>0</v>
      </c>
      <c r="R144" s="13">
        <v>0</v>
      </c>
      <c r="S144" s="13">
        <v>-332.7</v>
      </c>
      <c r="T144" s="13">
        <v>0</v>
      </c>
      <c r="U144" s="13">
        <v>7888.6</v>
      </c>
      <c r="V144" s="13">
        <v>0</v>
      </c>
      <c r="W144" s="13">
        <v>0</v>
      </c>
      <c r="X144" s="13">
        <v>3624.75</v>
      </c>
      <c r="Y144" s="13">
        <v>0</v>
      </c>
      <c r="Z144" s="13">
        <v>0</v>
      </c>
      <c r="AA144" s="13">
        <v>0</v>
      </c>
      <c r="AB144" s="13">
        <v>6245</v>
      </c>
      <c r="AC144" s="13">
        <v>0</v>
      </c>
      <c r="AD144" s="13">
        <v>0</v>
      </c>
      <c r="AE144" s="13">
        <v>0</v>
      </c>
      <c r="AF144" s="13">
        <v>0</v>
      </c>
      <c r="AG144" s="95">
        <f t="shared" si="34"/>
        <v>19951.099999999999</v>
      </c>
      <c r="AH144" s="8">
        <v>141</v>
      </c>
    </row>
    <row r="145" spans="3:34" ht="15" x14ac:dyDescent="0.25">
      <c r="D145" s="8">
        <v>2041</v>
      </c>
      <c r="E145" s="8" t="s">
        <v>273</v>
      </c>
      <c r="F145" s="13">
        <v>25556.37</v>
      </c>
      <c r="G145" s="13">
        <v>187801.52</v>
      </c>
      <c r="H145" s="13">
        <v>5780</v>
      </c>
      <c r="I145" s="13">
        <v>0</v>
      </c>
      <c r="J145" s="13">
        <v>0</v>
      </c>
      <c r="K145" s="13">
        <v>0</v>
      </c>
      <c r="L145" s="13">
        <v>16668.05</v>
      </c>
      <c r="M145" s="13">
        <v>0</v>
      </c>
      <c r="N145" s="13">
        <v>62297.41</v>
      </c>
      <c r="O145" s="13">
        <v>85220.85</v>
      </c>
      <c r="P145" s="13">
        <v>1292.4000000000001</v>
      </c>
      <c r="Q145" s="13">
        <v>0</v>
      </c>
      <c r="R145" s="13">
        <v>3915.45</v>
      </c>
      <c r="S145" s="13">
        <v>0</v>
      </c>
      <c r="T145" s="13">
        <v>0</v>
      </c>
      <c r="U145" s="13">
        <v>0</v>
      </c>
      <c r="V145" s="13">
        <v>0</v>
      </c>
      <c r="W145" s="13">
        <v>0</v>
      </c>
      <c r="X145" s="13">
        <v>0</v>
      </c>
      <c r="Y145" s="13">
        <v>0</v>
      </c>
      <c r="Z145" s="13">
        <v>568.9</v>
      </c>
      <c r="AA145" s="13">
        <v>19889.29</v>
      </c>
      <c r="AB145" s="13">
        <v>22003</v>
      </c>
      <c r="AC145" s="13">
        <v>0</v>
      </c>
      <c r="AD145" s="13">
        <v>4800.25</v>
      </c>
      <c r="AE145" s="13">
        <v>26440.9</v>
      </c>
      <c r="AF145" s="13">
        <v>279524.25</v>
      </c>
      <c r="AG145" s="95">
        <f t="shared" si="34"/>
        <v>741758.64</v>
      </c>
      <c r="AH145" s="8">
        <v>142</v>
      </c>
    </row>
    <row r="146" spans="3:34"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95">
        <f t="shared" si="34"/>
        <v>0</v>
      </c>
      <c r="AH146" s="8">
        <v>143</v>
      </c>
    </row>
    <row r="147" spans="3:34" ht="15" x14ac:dyDescent="0.25">
      <c r="D147" s="8">
        <v>2043</v>
      </c>
      <c r="E147" s="8" t="s">
        <v>326</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202132.5</v>
      </c>
      <c r="AA147" s="13">
        <v>0</v>
      </c>
      <c r="AB147" s="13">
        <v>0</v>
      </c>
      <c r="AC147" s="13">
        <v>0</v>
      </c>
      <c r="AD147" s="13">
        <v>0</v>
      </c>
      <c r="AE147" s="13">
        <v>0</v>
      </c>
      <c r="AF147" s="13">
        <v>0</v>
      </c>
      <c r="AG147" s="95">
        <f t="shared" si="34"/>
        <v>202132.5</v>
      </c>
      <c r="AH147" s="8">
        <v>144</v>
      </c>
    </row>
    <row r="148" spans="3:34" ht="15" x14ac:dyDescent="0.25">
      <c r="D148" s="8">
        <v>2044</v>
      </c>
      <c r="E148" s="8" t="s">
        <v>406</v>
      </c>
      <c r="F148" s="13">
        <v>31441.78</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95">
        <f t="shared" si="34"/>
        <v>31441.78</v>
      </c>
      <c r="AH148" s="8">
        <v>145</v>
      </c>
    </row>
    <row r="149" spans="3:34" ht="15" x14ac:dyDescent="0.25">
      <c r="D149" s="8">
        <v>2045</v>
      </c>
      <c r="E149" s="8" t="s">
        <v>328</v>
      </c>
      <c r="F149" s="13">
        <v>0</v>
      </c>
      <c r="G149" s="13">
        <v>0</v>
      </c>
      <c r="H149" s="13">
        <v>0</v>
      </c>
      <c r="I149" s="13">
        <v>0</v>
      </c>
      <c r="J149" s="13">
        <v>0</v>
      </c>
      <c r="K149" s="13">
        <v>0</v>
      </c>
      <c r="L149" s="13">
        <v>0</v>
      </c>
      <c r="M149" s="13">
        <v>500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v>0</v>
      </c>
      <c r="AG149" s="95">
        <f t="shared" si="34"/>
        <v>500</v>
      </c>
      <c r="AH149" s="8">
        <v>146</v>
      </c>
    </row>
    <row r="150" spans="3:34"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95">
        <f t="shared" si="34"/>
        <v>0</v>
      </c>
      <c r="AH150" s="8">
        <v>147</v>
      </c>
    </row>
    <row r="151" spans="3:34" ht="15" x14ac:dyDescent="0.25">
      <c r="D151" s="8">
        <v>2049</v>
      </c>
      <c r="E151" s="8" t="s">
        <v>408</v>
      </c>
      <c r="F151" s="13">
        <v>0</v>
      </c>
      <c r="G151" s="13">
        <v>0</v>
      </c>
      <c r="H151" s="13">
        <v>0</v>
      </c>
      <c r="I151" s="13">
        <v>0</v>
      </c>
      <c r="J151" s="13">
        <v>0</v>
      </c>
      <c r="K151" s="13">
        <v>0</v>
      </c>
      <c r="L151" s="13">
        <v>0</v>
      </c>
      <c r="M151" s="13">
        <v>0</v>
      </c>
      <c r="N151" s="13">
        <v>0</v>
      </c>
      <c r="O151" s="13">
        <v>12000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95">
        <f t="shared" si="34"/>
        <v>12000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5"/>
      <c r="AH152" s="8">
        <v>149</v>
      </c>
    </row>
    <row r="153" spans="3:34" ht="15" x14ac:dyDescent="0.25">
      <c r="C153" s="123">
        <v>205</v>
      </c>
      <c r="D153" s="123"/>
      <c r="E153" s="123" t="s">
        <v>252</v>
      </c>
      <c r="F153" s="124">
        <f>F154+F155+F156+F157+F158+F159+F160+F161+F162+F163</f>
        <v>0</v>
      </c>
      <c r="G153" s="124">
        <f t="shared" ref="G153:AF153" si="35">G154+G155+G156+G157+G158+G159+G160+G161+G162+G163</f>
        <v>0</v>
      </c>
      <c r="H153" s="124">
        <f t="shared" si="35"/>
        <v>0</v>
      </c>
      <c r="I153" s="124">
        <f t="shared" si="35"/>
        <v>0</v>
      </c>
      <c r="J153" s="124">
        <f t="shared" si="35"/>
        <v>0</v>
      </c>
      <c r="K153" s="124">
        <f t="shared" si="35"/>
        <v>0</v>
      </c>
      <c r="L153" s="124">
        <f t="shared" si="35"/>
        <v>0</v>
      </c>
      <c r="M153" s="124">
        <f t="shared" si="35"/>
        <v>5355</v>
      </c>
      <c r="N153" s="124">
        <f t="shared" si="35"/>
        <v>0</v>
      </c>
      <c r="O153" s="124">
        <f t="shared" si="35"/>
        <v>0</v>
      </c>
      <c r="P153" s="124">
        <f t="shared" si="35"/>
        <v>0</v>
      </c>
      <c r="Q153" s="124">
        <f t="shared" si="35"/>
        <v>0</v>
      </c>
      <c r="R153" s="124">
        <f t="shared" si="35"/>
        <v>0</v>
      </c>
      <c r="S153" s="124">
        <f t="shared" si="35"/>
        <v>0</v>
      </c>
      <c r="T153" s="124">
        <f t="shared" si="35"/>
        <v>0</v>
      </c>
      <c r="U153" s="124">
        <f t="shared" si="35"/>
        <v>0</v>
      </c>
      <c r="V153" s="124">
        <f t="shared" si="35"/>
        <v>0</v>
      </c>
      <c r="W153" s="124">
        <f t="shared" si="35"/>
        <v>0</v>
      </c>
      <c r="X153" s="124">
        <f t="shared" si="35"/>
        <v>0</v>
      </c>
      <c r="Y153" s="124">
        <f t="shared" si="35"/>
        <v>0</v>
      </c>
      <c r="Z153" s="124">
        <f t="shared" si="35"/>
        <v>74461.63</v>
      </c>
      <c r="AA153" s="124">
        <f t="shared" si="35"/>
        <v>0</v>
      </c>
      <c r="AB153" s="124">
        <f t="shared" si="35"/>
        <v>0</v>
      </c>
      <c r="AC153" s="124">
        <f t="shared" si="35"/>
        <v>0</v>
      </c>
      <c r="AD153" s="124">
        <f t="shared" si="35"/>
        <v>0</v>
      </c>
      <c r="AE153" s="124">
        <f t="shared" si="35"/>
        <v>13500</v>
      </c>
      <c r="AF153" s="124">
        <f t="shared" si="35"/>
        <v>0</v>
      </c>
      <c r="AG153" s="124">
        <f t="shared" ref="AG153:AG163" si="36">SUM(F153:AF153)</f>
        <v>93316.63</v>
      </c>
      <c r="AH153" s="8">
        <v>150</v>
      </c>
    </row>
    <row r="154" spans="3:34" ht="15" x14ac:dyDescent="0.25">
      <c r="D154" s="8">
        <v>2050</v>
      </c>
      <c r="E154" s="8" t="s">
        <v>409</v>
      </c>
      <c r="F154" s="13">
        <v>0</v>
      </c>
      <c r="G154" s="13">
        <v>0</v>
      </c>
      <c r="H154" s="13">
        <v>0</v>
      </c>
      <c r="I154" s="13">
        <v>0</v>
      </c>
      <c r="J154" s="13">
        <v>0</v>
      </c>
      <c r="K154" s="13">
        <v>0</v>
      </c>
      <c r="L154" s="13">
        <v>0</v>
      </c>
      <c r="M154" s="13">
        <v>5355</v>
      </c>
      <c r="N154" s="13">
        <v>0</v>
      </c>
      <c r="O154" s="13">
        <v>0</v>
      </c>
      <c r="P154" s="13">
        <v>0</v>
      </c>
      <c r="Q154" s="13">
        <v>0</v>
      </c>
      <c r="R154" s="13">
        <v>0</v>
      </c>
      <c r="S154" s="13">
        <v>0</v>
      </c>
      <c r="T154" s="13">
        <v>0</v>
      </c>
      <c r="U154" s="13">
        <v>0</v>
      </c>
      <c r="V154" s="13">
        <v>0</v>
      </c>
      <c r="W154" s="13">
        <v>0</v>
      </c>
      <c r="X154" s="13">
        <v>0</v>
      </c>
      <c r="Y154" s="13">
        <v>0</v>
      </c>
      <c r="Z154" s="13">
        <v>74461.63</v>
      </c>
      <c r="AA154" s="13">
        <v>0</v>
      </c>
      <c r="AB154" s="13">
        <v>0</v>
      </c>
      <c r="AC154" s="13">
        <v>0</v>
      </c>
      <c r="AD154" s="13">
        <v>0</v>
      </c>
      <c r="AE154" s="13">
        <v>13500</v>
      </c>
      <c r="AF154" s="13">
        <v>0</v>
      </c>
      <c r="AG154" s="95">
        <f t="shared" si="36"/>
        <v>93316.63</v>
      </c>
      <c r="AH154" s="8">
        <v>151</v>
      </c>
    </row>
    <row r="155" spans="3:34"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95">
        <f t="shared" si="36"/>
        <v>0</v>
      </c>
      <c r="AH155" s="8">
        <v>152</v>
      </c>
    </row>
    <row r="156" spans="3:34"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0</v>
      </c>
      <c r="W156" s="13">
        <v>0</v>
      </c>
      <c r="X156" s="13">
        <v>0</v>
      </c>
      <c r="Y156" s="13">
        <v>0</v>
      </c>
      <c r="Z156" s="13">
        <v>0</v>
      </c>
      <c r="AA156" s="13">
        <v>0</v>
      </c>
      <c r="AB156" s="13">
        <v>0</v>
      </c>
      <c r="AC156" s="13">
        <v>0</v>
      </c>
      <c r="AD156" s="13">
        <v>0</v>
      </c>
      <c r="AE156" s="13">
        <v>0</v>
      </c>
      <c r="AF156" s="13">
        <v>0</v>
      </c>
      <c r="AG156" s="95">
        <f t="shared" si="36"/>
        <v>0</v>
      </c>
      <c r="AH156" s="8">
        <v>153</v>
      </c>
    </row>
    <row r="157" spans="3:34"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95">
        <f t="shared" si="36"/>
        <v>0</v>
      </c>
      <c r="AH157" s="8">
        <v>154</v>
      </c>
    </row>
    <row r="158" spans="3:34"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95">
        <f t="shared" si="36"/>
        <v>0</v>
      </c>
      <c r="AH158" s="8">
        <v>155</v>
      </c>
    </row>
    <row r="159" spans="3:34"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95">
        <f t="shared" si="36"/>
        <v>0</v>
      </c>
      <c r="AH159" s="8">
        <v>156</v>
      </c>
    </row>
    <row r="160" spans="3:34"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95">
        <f t="shared" si="36"/>
        <v>0</v>
      </c>
      <c r="AH160" s="8">
        <v>157</v>
      </c>
    </row>
    <row r="161" spans="3:34"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95">
        <f t="shared" si="36"/>
        <v>0</v>
      </c>
      <c r="AH161" s="8">
        <v>158</v>
      </c>
    </row>
    <row r="162" spans="3:34"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95">
        <f t="shared" si="36"/>
        <v>0</v>
      </c>
      <c r="AH162" s="8">
        <v>159</v>
      </c>
    </row>
    <row r="163" spans="3:34"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13">
        <v>0</v>
      </c>
      <c r="T163" s="13">
        <v>0</v>
      </c>
      <c r="U163" s="13">
        <v>0</v>
      </c>
      <c r="V163" s="13">
        <v>0</v>
      </c>
      <c r="W163" s="13">
        <v>0</v>
      </c>
      <c r="X163" s="13">
        <v>0</v>
      </c>
      <c r="Y163" s="13">
        <v>0</v>
      </c>
      <c r="Z163" s="13">
        <v>0</v>
      </c>
      <c r="AA163" s="13">
        <v>0</v>
      </c>
      <c r="AB163" s="13">
        <v>0</v>
      </c>
      <c r="AC163" s="13">
        <v>0</v>
      </c>
      <c r="AD163" s="13">
        <v>0</v>
      </c>
      <c r="AE163" s="13">
        <v>0</v>
      </c>
      <c r="AF163" s="13">
        <v>0</v>
      </c>
      <c r="AG163" s="95">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5"/>
      <c r="AH164" s="8">
        <v>161</v>
      </c>
    </row>
    <row r="165" spans="3:34" ht="15" x14ac:dyDescent="0.25">
      <c r="C165" s="123">
        <v>206</v>
      </c>
      <c r="D165" s="123"/>
      <c r="E165" s="123" t="s">
        <v>253</v>
      </c>
      <c r="F165" s="124">
        <f>F166+F167+F168+F169+F170+F171</f>
        <v>2750226.55</v>
      </c>
      <c r="G165" s="124">
        <f t="shared" ref="G165:AF165" si="37">G166+G167+G168+G169+G170+G171</f>
        <v>0</v>
      </c>
      <c r="H165" s="124">
        <f t="shared" si="37"/>
        <v>0</v>
      </c>
      <c r="I165" s="124">
        <f t="shared" si="37"/>
        <v>0</v>
      </c>
      <c r="J165" s="124">
        <f t="shared" si="37"/>
        <v>1787260</v>
      </c>
      <c r="K165" s="124">
        <f t="shared" si="37"/>
        <v>2289879.5499999998</v>
      </c>
      <c r="L165" s="124">
        <f t="shared" si="37"/>
        <v>500000</v>
      </c>
      <c r="M165" s="124">
        <f t="shared" si="37"/>
        <v>3461800</v>
      </c>
      <c r="N165" s="124">
        <f t="shared" si="37"/>
        <v>0</v>
      </c>
      <c r="O165" s="124">
        <f t="shared" si="37"/>
        <v>106000</v>
      </c>
      <c r="P165" s="124">
        <f t="shared" si="37"/>
        <v>0</v>
      </c>
      <c r="Q165" s="124">
        <f t="shared" si="37"/>
        <v>0</v>
      </c>
      <c r="R165" s="124">
        <f t="shared" si="37"/>
        <v>19200</v>
      </c>
      <c r="S165" s="124">
        <f t="shared" si="37"/>
        <v>0</v>
      </c>
      <c r="T165" s="124">
        <f t="shared" si="37"/>
        <v>0</v>
      </c>
      <c r="U165" s="124">
        <f t="shared" si="37"/>
        <v>398873.11</v>
      </c>
      <c r="V165" s="124">
        <f t="shared" si="37"/>
        <v>2595000</v>
      </c>
      <c r="W165" s="124">
        <f t="shared" si="37"/>
        <v>500000</v>
      </c>
      <c r="X165" s="124">
        <f t="shared" si="37"/>
        <v>0</v>
      </c>
      <c r="Y165" s="124">
        <f t="shared" si="37"/>
        <v>149100</v>
      </c>
      <c r="Z165" s="124">
        <f t="shared" si="37"/>
        <v>16247800</v>
      </c>
      <c r="AA165" s="124">
        <f t="shared" si="37"/>
        <v>1775300</v>
      </c>
      <c r="AB165" s="124">
        <f t="shared" si="37"/>
        <v>3508500</v>
      </c>
      <c r="AC165" s="124">
        <f t="shared" si="37"/>
        <v>0</v>
      </c>
      <c r="AD165" s="124">
        <f t="shared" si="37"/>
        <v>0</v>
      </c>
      <c r="AE165" s="124">
        <f t="shared" si="37"/>
        <v>7100000</v>
      </c>
      <c r="AF165" s="124">
        <f t="shared" si="37"/>
        <v>0</v>
      </c>
      <c r="AG165" s="124">
        <f t="shared" ref="AG165:AG171" si="38">SUM(F165:AF165)</f>
        <v>43188939.210000001</v>
      </c>
      <c r="AH165" s="8">
        <v>162</v>
      </c>
    </row>
    <row r="166" spans="3:34" ht="15" x14ac:dyDescent="0.25">
      <c r="D166" s="8">
        <v>2060</v>
      </c>
      <c r="E166" s="8" t="s">
        <v>419</v>
      </c>
      <c r="F166" s="13">
        <v>0</v>
      </c>
      <c r="G166" s="13">
        <v>0</v>
      </c>
      <c r="H166" s="13">
        <v>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0</v>
      </c>
      <c r="AE166" s="13">
        <v>0</v>
      </c>
      <c r="AF166" s="13">
        <v>0</v>
      </c>
      <c r="AG166" s="95">
        <f t="shared" si="38"/>
        <v>0</v>
      </c>
      <c r="AH166" s="8">
        <v>163</v>
      </c>
    </row>
    <row r="167" spans="3:34"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95">
        <f t="shared" si="38"/>
        <v>0</v>
      </c>
      <c r="AH167" s="8">
        <v>164</v>
      </c>
    </row>
    <row r="168" spans="3:34" ht="15" x14ac:dyDescent="0.25">
      <c r="D168" s="8">
        <v>2063</v>
      </c>
      <c r="E168" s="8" t="s">
        <v>421</v>
      </c>
      <c r="F168" s="13">
        <v>2750226.55</v>
      </c>
      <c r="G168" s="13">
        <v>0</v>
      </c>
      <c r="H168" s="13">
        <v>0</v>
      </c>
      <c r="I168" s="13">
        <v>0</v>
      </c>
      <c r="J168" s="13">
        <v>1787260</v>
      </c>
      <c r="K168" s="13">
        <v>2638279.5499999998</v>
      </c>
      <c r="L168" s="13">
        <v>500000</v>
      </c>
      <c r="M168" s="13">
        <v>3461800</v>
      </c>
      <c r="N168" s="13">
        <v>0</v>
      </c>
      <c r="O168" s="13">
        <v>0</v>
      </c>
      <c r="P168" s="13">
        <v>0</v>
      </c>
      <c r="Q168" s="13">
        <v>0</v>
      </c>
      <c r="R168" s="13">
        <v>0</v>
      </c>
      <c r="S168" s="13">
        <v>0</v>
      </c>
      <c r="T168" s="13">
        <v>0</v>
      </c>
      <c r="U168" s="13">
        <v>398873.11</v>
      </c>
      <c r="V168" s="13">
        <v>2595000</v>
      </c>
      <c r="W168" s="13">
        <v>500000</v>
      </c>
      <c r="X168" s="13">
        <v>0</v>
      </c>
      <c r="Y168" s="13">
        <v>149100</v>
      </c>
      <c r="Z168" s="13">
        <v>16247800</v>
      </c>
      <c r="AA168" s="13">
        <v>1709300</v>
      </c>
      <c r="AB168" s="13">
        <v>0</v>
      </c>
      <c r="AC168" s="13">
        <v>0</v>
      </c>
      <c r="AD168" s="13">
        <v>0</v>
      </c>
      <c r="AE168" s="13">
        <v>0</v>
      </c>
      <c r="AF168" s="13">
        <v>0</v>
      </c>
      <c r="AG168" s="95">
        <f t="shared" si="38"/>
        <v>32737639.210000001</v>
      </c>
      <c r="AH168" s="8">
        <v>165</v>
      </c>
    </row>
    <row r="169" spans="3:34" ht="15" x14ac:dyDescent="0.25">
      <c r="D169" s="8">
        <v>2064</v>
      </c>
      <c r="E169" s="8" t="s">
        <v>442</v>
      </c>
      <c r="F169" s="13">
        <v>0</v>
      </c>
      <c r="G169" s="13">
        <v>0</v>
      </c>
      <c r="H169" s="13">
        <v>0</v>
      </c>
      <c r="I169" s="13">
        <v>0</v>
      </c>
      <c r="J169" s="13">
        <v>0</v>
      </c>
      <c r="K169" s="13">
        <v>0</v>
      </c>
      <c r="L169" s="13">
        <v>0</v>
      </c>
      <c r="M169" s="13">
        <v>0</v>
      </c>
      <c r="N169" s="13">
        <v>0</v>
      </c>
      <c r="O169" s="13">
        <v>0</v>
      </c>
      <c r="P169" s="13">
        <v>0</v>
      </c>
      <c r="Q169" s="13">
        <v>0</v>
      </c>
      <c r="R169" s="13">
        <v>19200</v>
      </c>
      <c r="S169" s="13">
        <v>0</v>
      </c>
      <c r="T169" s="13">
        <v>0</v>
      </c>
      <c r="U169" s="13">
        <v>0</v>
      </c>
      <c r="V169" s="13">
        <v>0</v>
      </c>
      <c r="W169" s="13">
        <v>0</v>
      </c>
      <c r="X169" s="13">
        <v>0</v>
      </c>
      <c r="Y169" s="13">
        <v>0</v>
      </c>
      <c r="Z169" s="13">
        <v>0</v>
      </c>
      <c r="AA169" s="13">
        <v>66000</v>
      </c>
      <c r="AB169" s="13">
        <v>3508500</v>
      </c>
      <c r="AC169" s="13">
        <v>0</v>
      </c>
      <c r="AD169" s="13">
        <v>0</v>
      </c>
      <c r="AE169" s="13">
        <v>7100000</v>
      </c>
      <c r="AF169" s="13">
        <v>0</v>
      </c>
      <c r="AG169" s="95">
        <f t="shared" si="38"/>
        <v>10693700</v>
      </c>
      <c r="AH169" s="8">
        <v>166</v>
      </c>
    </row>
    <row r="170" spans="3:34"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95">
        <f t="shared" si="38"/>
        <v>0</v>
      </c>
      <c r="AH170" s="8">
        <v>167</v>
      </c>
    </row>
    <row r="171" spans="3:34" ht="15" x14ac:dyDescent="0.25">
      <c r="D171" s="8">
        <v>2069</v>
      </c>
      <c r="E171" s="8" t="s">
        <v>424</v>
      </c>
      <c r="F171" s="13">
        <v>0</v>
      </c>
      <c r="G171" s="13">
        <v>0</v>
      </c>
      <c r="H171" s="13">
        <v>0</v>
      </c>
      <c r="I171" s="13">
        <v>0</v>
      </c>
      <c r="J171" s="13">
        <v>0</v>
      </c>
      <c r="K171" s="13">
        <v>-348400</v>
      </c>
      <c r="L171" s="13">
        <v>0</v>
      </c>
      <c r="M171" s="13">
        <v>0</v>
      </c>
      <c r="N171" s="13">
        <v>0</v>
      </c>
      <c r="O171" s="13">
        <v>106000</v>
      </c>
      <c r="P171" s="13">
        <v>0</v>
      </c>
      <c r="Q171" s="13">
        <v>0</v>
      </c>
      <c r="R171" s="13">
        <v>0</v>
      </c>
      <c r="S171" s="13">
        <v>0</v>
      </c>
      <c r="T171" s="13">
        <v>0</v>
      </c>
      <c r="U171" s="13">
        <v>0</v>
      </c>
      <c r="V171" s="13">
        <v>0</v>
      </c>
      <c r="W171" s="13">
        <v>0</v>
      </c>
      <c r="X171" s="13">
        <v>0</v>
      </c>
      <c r="Y171" s="13">
        <v>0</v>
      </c>
      <c r="Z171" s="13">
        <v>0</v>
      </c>
      <c r="AA171" s="13">
        <v>0</v>
      </c>
      <c r="AB171" s="13">
        <v>0</v>
      </c>
      <c r="AC171" s="13">
        <v>0</v>
      </c>
      <c r="AD171" s="13">
        <v>0</v>
      </c>
      <c r="AE171" s="13">
        <v>0</v>
      </c>
      <c r="AF171" s="13">
        <v>0</v>
      </c>
      <c r="AG171" s="95">
        <f t="shared" si="38"/>
        <v>-242400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5"/>
      <c r="AH172" s="8">
        <v>169</v>
      </c>
    </row>
    <row r="173" spans="3:34" ht="15" x14ac:dyDescent="0.25">
      <c r="C173" s="123">
        <v>208</v>
      </c>
      <c r="D173" s="123"/>
      <c r="E173" s="123" t="s">
        <v>254</v>
      </c>
      <c r="F173" s="124">
        <f>F174+F175+F176+F177+F178+F179+F180+F181+F182</f>
        <v>0</v>
      </c>
      <c r="G173" s="124">
        <f t="shared" ref="G173:AF173" si="39">G174+G175+G176+G177+G178+G179+G180+G181+G182</f>
        <v>0</v>
      </c>
      <c r="H173" s="124">
        <f t="shared" si="39"/>
        <v>0</v>
      </c>
      <c r="I173" s="124">
        <f t="shared" si="39"/>
        <v>0</v>
      </c>
      <c r="J173" s="124">
        <f t="shared" si="39"/>
        <v>0</v>
      </c>
      <c r="K173" s="124">
        <f t="shared" si="39"/>
        <v>0</v>
      </c>
      <c r="L173" s="124">
        <f t="shared" si="39"/>
        <v>0</v>
      </c>
      <c r="M173" s="124">
        <f t="shared" si="39"/>
        <v>0</v>
      </c>
      <c r="N173" s="124">
        <f t="shared" si="39"/>
        <v>13241.4</v>
      </c>
      <c r="O173" s="124">
        <f t="shared" si="39"/>
        <v>0</v>
      </c>
      <c r="P173" s="124">
        <f t="shared" si="39"/>
        <v>0</v>
      </c>
      <c r="Q173" s="124">
        <f t="shared" si="39"/>
        <v>0</v>
      </c>
      <c r="R173" s="124">
        <f t="shared" si="39"/>
        <v>0</v>
      </c>
      <c r="S173" s="124">
        <f t="shared" si="39"/>
        <v>0</v>
      </c>
      <c r="T173" s="124">
        <f t="shared" si="39"/>
        <v>0</v>
      </c>
      <c r="U173" s="124">
        <f t="shared" si="39"/>
        <v>13000</v>
      </c>
      <c r="V173" s="124">
        <f t="shared" si="39"/>
        <v>0</v>
      </c>
      <c r="W173" s="124">
        <f t="shared" si="39"/>
        <v>0</v>
      </c>
      <c r="X173" s="124">
        <f t="shared" si="39"/>
        <v>0</v>
      </c>
      <c r="Y173" s="124">
        <f t="shared" si="39"/>
        <v>0</v>
      </c>
      <c r="Z173" s="124">
        <f t="shared" si="39"/>
        <v>0</v>
      </c>
      <c r="AA173" s="124">
        <f t="shared" si="39"/>
        <v>131535.79999999999</v>
      </c>
      <c r="AB173" s="124">
        <f t="shared" si="39"/>
        <v>0</v>
      </c>
      <c r="AC173" s="124">
        <f t="shared" si="39"/>
        <v>0</v>
      </c>
      <c r="AD173" s="124">
        <f t="shared" si="39"/>
        <v>0</v>
      </c>
      <c r="AE173" s="124">
        <f t="shared" si="39"/>
        <v>0</v>
      </c>
      <c r="AF173" s="124">
        <f t="shared" si="39"/>
        <v>0</v>
      </c>
      <c r="AG173" s="124">
        <f t="shared" ref="AG173:AG182" si="40">SUM(F173:AF173)</f>
        <v>157777.19999999998</v>
      </c>
      <c r="AH173" s="8">
        <v>170</v>
      </c>
    </row>
    <row r="174" spans="3:34"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95">
        <f t="shared" si="40"/>
        <v>0</v>
      </c>
      <c r="AH174" s="8">
        <v>171</v>
      </c>
    </row>
    <row r="175" spans="3:34"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95">
        <f t="shared" si="40"/>
        <v>0</v>
      </c>
      <c r="AH175" s="8">
        <v>172</v>
      </c>
    </row>
    <row r="176" spans="3:34"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0</v>
      </c>
      <c r="W176" s="13">
        <v>0</v>
      </c>
      <c r="X176" s="13">
        <v>0</v>
      </c>
      <c r="Y176" s="13">
        <v>0</v>
      </c>
      <c r="Z176" s="13">
        <v>0</v>
      </c>
      <c r="AA176" s="13">
        <v>0</v>
      </c>
      <c r="AB176" s="13">
        <v>0</v>
      </c>
      <c r="AC176" s="13">
        <v>0</v>
      </c>
      <c r="AD176" s="13">
        <v>0</v>
      </c>
      <c r="AE176" s="13">
        <v>0</v>
      </c>
      <c r="AF176" s="13">
        <v>0</v>
      </c>
      <c r="AG176" s="95">
        <f t="shared" si="40"/>
        <v>0</v>
      </c>
      <c r="AH176" s="8">
        <v>173</v>
      </c>
    </row>
    <row r="177" spans="2:34"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95">
        <f t="shared" si="40"/>
        <v>0</v>
      </c>
      <c r="AH177" s="8">
        <v>174</v>
      </c>
    </row>
    <row r="178" spans="2:34" ht="15" x14ac:dyDescent="0.25">
      <c r="D178" s="8">
        <v>2085</v>
      </c>
      <c r="E178" s="8" t="s">
        <v>430</v>
      </c>
      <c r="F178" s="13">
        <v>0</v>
      </c>
      <c r="G178" s="13">
        <v>0</v>
      </c>
      <c r="H178" s="13">
        <v>0</v>
      </c>
      <c r="I178" s="13">
        <v>0</v>
      </c>
      <c r="J178" s="13">
        <v>0</v>
      </c>
      <c r="K178" s="13">
        <v>0</v>
      </c>
      <c r="L178" s="13">
        <v>0</v>
      </c>
      <c r="M178" s="13">
        <v>0</v>
      </c>
      <c r="N178" s="13">
        <v>0</v>
      </c>
      <c r="O178" s="13">
        <v>0</v>
      </c>
      <c r="P178" s="13">
        <v>0</v>
      </c>
      <c r="Q178" s="13">
        <v>0</v>
      </c>
      <c r="R178" s="13">
        <v>0</v>
      </c>
      <c r="S178" s="13">
        <v>0</v>
      </c>
      <c r="T178" s="13">
        <v>0</v>
      </c>
      <c r="U178" s="13">
        <v>13000</v>
      </c>
      <c r="V178" s="13">
        <v>0</v>
      </c>
      <c r="W178" s="13">
        <v>0</v>
      </c>
      <c r="X178" s="13">
        <v>0</v>
      </c>
      <c r="Y178" s="13">
        <v>0</v>
      </c>
      <c r="Z178" s="13">
        <v>0</v>
      </c>
      <c r="AA178" s="13">
        <v>131535.79999999999</v>
      </c>
      <c r="AB178" s="13">
        <v>0</v>
      </c>
      <c r="AC178" s="13">
        <v>0</v>
      </c>
      <c r="AD178" s="13">
        <v>0</v>
      </c>
      <c r="AE178" s="13">
        <v>0</v>
      </c>
      <c r="AF178" s="13">
        <v>0</v>
      </c>
      <c r="AG178" s="95">
        <f t="shared" si="40"/>
        <v>144535.79999999999</v>
      </c>
      <c r="AH178" s="8">
        <v>175</v>
      </c>
    </row>
    <row r="179" spans="2:34"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95">
        <f t="shared" si="40"/>
        <v>0</v>
      </c>
      <c r="AH179" s="8">
        <v>176</v>
      </c>
    </row>
    <row r="180" spans="2:34"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95">
        <f t="shared" si="40"/>
        <v>0</v>
      </c>
      <c r="AH180" s="8">
        <v>177</v>
      </c>
    </row>
    <row r="181" spans="2:34"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95">
        <f t="shared" si="40"/>
        <v>0</v>
      </c>
      <c r="AH181" s="8">
        <v>178</v>
      </c>
    </row>
    <row r="182" spans="2:34" ht="15" x14ac:dyDescent="0.25">
      <c r="D182" s="8">
        <v>2089</v>
      </c>
      <c r="E182" s="8" t="s">
        <v>433</v>
      </c>
      <c r="F182" s="13">
        <v>0</v>
      </c>
      <c r="G182" s="13">
        <v>0</v>
      </c>
      <c r="H182" s="13">
        <v>0</v>
      </c>
      <c r="I182" s="13">
        <v>0</v>
      </c>
      <c r="J182" s="13">
        <v>0</v>
      </c>
      <c r="K182" s="13">
        <v>0</v>
      </c>
      <c r="L182" s="13">
        <v>0</v>
      </c>
      <c r="M182" s="13">
        <v>0</v>
      </c>
      <c r="N182" s="13">
        <v>13241.4</v>
      </c>
      <c r="O182" s="13">
        <v>0</v>
      </c>
      <c r="P182" s="13">
        <v>0</v>
      </c>
      <c r="Q182" s="13">
        <v>0</v>
      </c>
      <c r="R182" s="13">
        <v>0</v>
      </c>
      <c r="S182" s="13">
        <v>0</v>
      </c>
      <c r="T182" s="13">
        <v>0</v>
      </c>
      <c r="U182" s="13">
        <v>0</v>
      </c>
      <c r="V182" s="13">
        <v>0</v>
      </c>
      <c r="W182" s="13">
        <v>0</v>
      </c>
      <c r="X182" s="13">
        <v>0</v>
      </c>
      <c r="Y182" s="13">
        <v>0</v>
      </c>
      <c r="Z182" s="13">
        <v>0</v>
      </c>
      <c r="AA182" s="13">
        <v>0</v>
      </c>
      <c r="AB182" s="13">
        <v>0</v>
      </c>
      <c r="AC182" s="13">
        <v>0</v>
      </c>
      <c r="AD182" s="13">
        <v>0</v>
      </c>
      <c r="AE182" s="13">
        <v>0</v>
      </c>
      <c r="AF182" s="13">
        <v>0</v>
      </c>
      <c r="AG182" s="95">
        <f t="shared" si="40"/>
        <v>13241.4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5"/>
      <c r="AH183" s="8">
        <v>180</v>
      </c>
    </row>
    <row r="184" spans="2:34" ht="15" x14ac:dyDescent="0.25">
      <c r="C184" s="123">
        <v>209</v>
      </c>
      <c r="D184" s="123"/>
      <c r="E184" s="123" t="s">
        <v>255</v>
      </c>
      <c r="F184" s="124">
        <f>F185+F186+F187+F188</f>
        <v>0</v>
      </c>
      <c r="G184" s="124">
        <f t="shared" ref="G184:AF184" si="41">G185+G186+G187+G188</f>
        <v>0</v>
      </c>
      <c r="H184" s="124">
        <f t="shared" si="41"/>
        <v>0</v>
      </c>
      <c r="I184" s="124">
        <f t="shared" si="41"/>
        <v>250000</v>
      </c>
      <c r="J184" s="124">
        <f t="shared" si="41"/>
        <v>0</v>
      </c>
      <c r="K184" s="124">
        <f t="shared" si="41"/>
        <v>0</v>
      </c>
      <c r="L184" s="124">
        <f t="shared" si="41"/>
        <v>0</v>
      </c>
      <c r="M184" s="124">
        <f t="shared" si="41"/>
        <v>0</v>
      </c>
      <c r="N184" s="124">
        <f t="shared" si="41"/>
        <v>0</v>
      </c>
      <c r="O184" s="124">
        <f t="shared" si="41"/>
        <v>0</v>
      </c>
      <c r="P184" s="124">
        <f t="shared" si="41"/>
        <v>0</v>
      </c>
      <c r="Q184" s="124">
        <f t="shared" si="41"/>
        <v>0</v>
      </c>
      <c r="R184" s="124">
        <f t="shared" si="41"/>
        <v>0</v>
      </c>
      <c r="S184" s="124">
        <f t="shared" si="41"/>
        <v>0</v>
      </c>
      <c r="T184" s="124">
        <f t="shared" si="41"/>
        <v>0</v>
      </c>
      <c r="U184" s="124">
        <f t="shared" si="41"/>
        <v>0</v>
      </c>
      <c r="V184" s="124">
        <f t="shared" si="41"/>
        <v>0</v>
      </c>
      <c r="W184" s="124">
        <f t="shared" si="41"/>
        <v>0</v>
      </c>
      <c r="X184" s="124">
        <f t="shared" si="41"/>
        <v>0</v>
      </c>
      <c r="Y184" s="124">
        <f t="shared" si="41"/>
        <v>0</v>
      </c>
      <c r="Z184" s="124">
        <f t="shared" si="41"/>
        <v>0</v>
      </c>
      <c r="AA184" s="124">
        <f t="shared" si="41"/>
        <v>0</v>
      </c>
      <c r="AB184" s="124">
        <f t="shared" si="41"/>
        <v>0</v>
      </c>
      <c r="AC184" s="124">
        <f t="shared" si="41"/>
        <v>0</v>
      </c>
      <c r="AD184" s="124">
        <f t="shared" si="41"/>
        <v>0</v>
      </c>
      <c r="AE184" s="124">
        <f t="shared" si="41"/>
        <v>0</v>
      </c>
      <c r="AF184" s="124">
        <f t="shared" si="41"/>
        <v>0</v>
      </c>
      <c r="AG184" s="124">
        <f>SUM(F184:AF184)</f>
        <v>250000</v>
      </c>
      <c r="AH184" s="8">
        <v>181</v>
      </c>
    </row>
    <row r="185" spans="2:34"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0</v>
      </c>
      <c r="AC185" s="13">
        <v>0</v>
      </c>
      <c r="AD185" s="13">
        <v>0</v>
      </c>
      <c r="AE185" s="13">
        <v>0</v>
      </c>
      <c r="AF185" s="13">
        <v>0</v>
      </c>
      <c r="AG185" s="95">
        <f>SUM(F185:AF185)</f>
        <v>0</v>
      </c>
      <c r="AH185" s="8">
        <v>182</v>
      </c>
    </row>
    <row r="186" spans="2:34" ht="15" x14ac:dyDescent="0.25">
      <c r="D186" s="8">
        <v>2091</v>
      </c>
      <c r="E186" s="8" t="s">
        <v>434</v>
      </c>
      <c r="F186" s="13">
        <v>0</v>
      </c>
      <c r="G186" s="13">
        <v>0</v>
      </c>
      <c r="H186" s="13">
        <v>0</v>
      </c>
      <c r="I186" s="13">
        <v>250000</v>
      </c>
      <c r="J186" s="13">
        <v>0</v>
      </c>
      <c r="K186" s="13">
        <v>0</v>
      </c>
      <c r="L186" s="13">
        <v>0</v>
      </c>
      <c r="M186" s="13">
        <v>0</v>
      </c>
      <c r="N186" s="13">
        <v>0</v>
      </c>
      <c r="O186" s="13">
        <v>0</v>
      </c>
      <c r="P186" s="13">
        <v>0</v>
      </c>
      <c r="Q186" s="13">
        <v>0</v>
      </c>
      <c r="R186" s="13">
        <v>0</v>
      </c>
      <c r="S186" s="13">
        <v>0</v>
      </c>
      <c r="T186" s="13">
        <v>0</v>
      </c>
      <c r="U186" s="13">
        <v>0</v>
      </c>
      <c r="V186" s="13">
        <v>0</v>
      </c>
      <c r="W186" s="13">
        <v>0</v>
      </c>
      <c r="X186" s="13">
        <v>0</v>
      </c>
      <c r="Y186" s="13">
        <v>0</v>
      </c>
      <c r="Z186" s="13">
        <v>0</v>
      </c>
      <c r="AA186" s="13">
        <v>0</v>
      </c>
      <c r="AB186" s="13">
        <v>0</v>
      </c>
      <c r="AC186" s="13">
        <v>0</v>
      </c>
      <c r="AD186" s="13">
        <v>0</v>
      </c>
      <c r="AE186" s="13">
        <v>0</v>
      </c>
      <c r="AF186" s="13">
        <v>0</v>
      </c>
      <c r="AG186" s="95">
        <f>SUM(F186:AF186)</f>
        <v>250000</v>
      </c>
      <c r="AH186" s="8">
        <v>183</v>
      </c>
    </row>
    <row r="187" spans="2:34"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95">
        <f>SUM(F187:AF187)</f>
        <v>0</v>
      </c>
      <c r="AH187" s="8">
        <v>184</v>
      </c>
    </row>
    <row r="188" spans="2:34"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95">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5"/>
      <c r="AH189" s="8">
        <v>186</v>
      </c>
    </row>
    <row r="190" spans="2:34" ht="15" x14ac:dyDescent="0.25">
      <c r="B190" s="121">
        <v>29</v>
      </c>
      <c r="C190" s="121"/>
      <c r="D190" s="121"/>
      <c r="E190" s="121" t="s">
        <v>256</v>
      </c>
      <c r="F190" s="122">
        <f>F191+F194+F198+F201+F204+F207+F210+F213+F216</f>
        <v>768182.21</v>
      </c>
      <c r="G190" s="122">
        <f t="shared" ref="G190:AG190" si="42">G191+G194+G198+G201+G204+G207+G210+G213+G216</f>
        <v>65692052.82</v>
      </c>
      <c r="H190" s="122">
        <f t="shared" si="42"/>
        <v>266495.06</v>
      </c>
      <c r="I190" s="122">
        <f t="shared" si="42"/>
        <v>12484510.810000001</v>
      </c>
      <c r="J190" s="122">
        <f t="shared" si="42"/>
        <v>0</v>
      </c>
      <c r="K190" s="122">
        <f t="shared" si="42"/>
        <v>651940.52</v>
      </c>
      <c r="L190" s="122">
        <f t="shared" si="42"/>
        <v>0</v>
      </c>
      <c r="M190" s="122">
        <f t="shared" si="42"/>
        <v>593153.74</v>
      </c>
      <c r="N190" s="122">
        <f t="shared" si="42"/>
        <v>0</v>
      </c>
      <c r="O190" s="122">
        <f t="shared" si="42"/>
        <v>21341.26</v>
      </c>
      <c r="P190" s="122">
        <f t="shared" si="42"/>
        <v>12498748.199999999</v>
      </c>
      <c r="Q190" s="122">
        <f t="shared" si="42"/>
        <v>81638.05</v>
      </c>
      <c r="R190" s="122">
        <f t="shared" si="42"/>
        <v>2570.59</v>
      </c>
      <c r="S190" s="122">
        <f t="shared" si="42"/>
        <v>40394.71</v>
      </c>
      <c r="T190" s="122">
        <f t="shared" si="42"/>
        <v>5238.6500000000005</v>
      </c>
      <c r="U190" s="122">
        <f t="shared" si="42"/>
        <v>955104.22000000009</v>
      </c>
      <c r="V190" s="122">
        <f t="shared" si="42"/>
        <v>661874.55000000005</v>
      </c>
      <c r="W190" s="122">
        <f t="shared" si="42"/>
        <v>10399.75</v>
      </c>
      <c r="X190" s="122">
        <f t="shared" si="42"/>
        <v>29060.15</v>
      </c>
      <c r="Y190" s="122">
        <f t="shared" si="42"/>
        <v>3013079.59</v>
      </c>
      <c r="Z190" s="122">
        <f t="shared" si="42"/>
        <v>3067322.5100000002</v>
      </c>
      <c r="AA190" s="122">
        <f t="shared" si="42"/>
        <v>304059.52000000002</v>
      </c>
      <c r="AB190" s="122">
        <f t="shared" si="42"/>
        <v>2754009.04</v>
      </c>
      <c r="AC190" s="122">
        <f t="shared" si="42"/>
        <v>302346.57</v>
      </c>
      <c r="AD190" s="122">
        <f t="shared" si="42"/>
        <v>150000</v>
      </c>
      <c r="AE190" s="122">
        <f t="shared" si="42"/>
        <v>510909.43</v>
      </c>
      <c r="AF190" s="122">
        <f t="shared" si="42"/>
        <v>663444.47999999998</v>
      </c>
      <c r="AG190" s="122">
        <f t="shared" si="42"/>
        <v>105527876.43000001</v>
      </c>
      <c r="AH190" s="8">
        <v>187</v>
      </c>
    </row>
    <row r="191" spans="2:34" ht="15" x14ac:dyDescent="0.25">
      <c r="C191" s="123">
        <v>290</v>
      </c>
      <c r="D191" s="123"/>
      <c r="E191" s="123" t="s">
        <v>257</v>
      </c>
      <c r="F191" s="124">
        <f>F192</f>
        <v>0</v>
      </c>
      <c r="G191" s="124">
        <f t="shared" ref="G191:AF191" si="43">G192</f>
        <v>3765752.82</v>
      </c>
      <c r="H191" s="124">
        <f t="shared" si="43"/>
        <v>146317.32</v>
      </c>
      <c r="I191" s="124">
        <f t="shared" si="43"/>
        <v>2023535.1</v>
      </c>
      <c r="J191" s="124">
        <f t="shared" si="43"/>
        <v>0</v>
      </c>
      <c r="K191" s="124">
        <f t="shared" si="43"/>
        <v>135461.85</v>
      </c>
      <c r="L191" s="124">
        <f t="shared" si="43"/>
        <v>0</v>
      </c>
      <c r="M191" s="124">
        <f t="shared" si="43"/>
        <v>593153.74</v>
      </c>
      <c r="N191" s="124">
        <f t="shared" si="43"/>
        <v>0</v>
      </c>
      <c r="O191" s="124">
        <f t="shared" si="43"/>
        <v>0</v>
      </c>
      <c r="P191" s="124">
        <f t="shared" si="43"/>
        <v>0</v>
      </c>
      <c r="Q191" s="124">
        <f t="shared" si="43"/>
        <v>0</v>
      </c>
      <c r="R191" s="124">
        <f t="shared" si="43"/>
        <v>0</v>
      </c>
      <c r="S191" s="124">
        <f t="shared" si="43"/>
        <v>0</v>
      </c>
      <c r="T191" s="124">
        <f t="shared" si="43"/>
        <v>0</v>
      </c>
      <c r="U191" s="124">
        <f t="shared" si="43"/>
        <v>0</v>
      </c>
      <c r="V191" s="124">
        <f t="shared" si="43"/>
        <v>135995.63</v>
      </c>
      <c r="W191" s="124">
        <f t="shared" si="43"/>
        <v>0</v>
      </c>
      <c r="X191" s="124">
        <f t="shared" si="43"/>
        <v>0</v>
      </c>
      <c r="Y191" s="124">
        <f t="shared" si="43"/>
        <v>2229672.73</v>
      </c>
      <c r="Z191" s="124">
        <f t="shared" si="43"/>
        <v>577067.49</v>
      </c>
      <c r="AA191" s="124">
        <f t="shared" si="43"/>
        <v>0</v>
      </c>
      <c r="AB191" s="124">
        <f t="shared" si="43"/>
        <v>459229.54</v>
      </c>
      <c r="AC191" s="124">
        <f t="shared" si="43"/>
        <v>0</v>
      </c>
      <c r="AD191" s="124">
        <f t="shared" si="43"/>
        <v>150000</v>
      </c>
      <c r="AE191" s="124">
        <f t="shared" si="43"/>
        <v>0</v>
      </c>
      <c r="AF191" s="124">
        <f t="shared" si="43"/>
        <v>690496.5</v>
      </c>
      <c r="AG191" s="124">
        <f>SUM(F191:AF191)</f>
        <v>10906682.719999999</v>
      </c>
      <c r="AH191" s="8">
        <v>188</v>
      </c>
    </row>
    <row r="192" spans="2:34" ht="15" x14ac:dyDescent="0.25">
      <c r="D192" s="8">
        <v>2900</v>
      </c>
      <c r="E192" s="8" t="s">
        <v>257</v>
      </c>
      <c r="F192" s="13">
        <v>0</v>
      </c>
      <c r="G192" s="13">
        <v>3765752.82</v>
      </c>
      <c r="H192" s="13">
        <v>146317.32</v>
      </c>
      <c r="I192" s="13">
        <v>2023535.1</v>
      </c>
      <c r="J192" s="13">
        <v>0</v>
      </c>
      <c r="K192" s="13">
        <v>135461.85</v>
      </c>
      <c r="L192" s="13">
        <v>0</v>
      </c>
      <c r="M192" s="13">
        <v>593153.74</v>
      </c>
      <c r="N192" s="13">
        <v>0</v>
      </c>
      <c r="O192" s="13">
        <v>0</v>
      </c>
      <c r="P192" s="13">
        <v>0</v>
      </c>
      <c r="Q192" s="13">
        <v>0</v>
      </c>
      <c r="R192" s="13">
        <v>0</v>
      </c>
      <c r="S192" s="13">
        <v>0</v>
      </c>
      <c r="T192" s="13">
        <v>0</v>
      </c>
      <c r="U192" s="13">
        <v>0</v>
      </c>
      <c r="V192" s="13">
        <v>135995.63</v>
      </c>
      <c r="W192" s="13">
        <v>0</v>
      </c>
      <c r="X192" s="13">
        <v>0</v>
      </c>
      <c r="Y192" s="13">
        <v>2229672.73</v>
      </c>
      <c r="Z192" s="13">
        <v>577067.49</v>
      </c>
      <c r="AA192" s="13">
        <v>0</v>
      </c>
      <c r="AB192" s="13">
        <v>459229.54</v>
      </c>
      <c r="AC192" s="13">
        <v>0</v>
      </c>
      <c r="AD192" s="13">
        <v>150000</v>
      </c>
      <c r="AE192" s="13">
        <v>0</v>
      </c>
      <c r="AF192" s="13">
        <v>690496.5</v>
      </c>
      <c r="AG192" s="95">
        <f>SUM(F192:AF192)</f>
        <v>10906682.719999999</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95"/>
      <c r="AH193" s="8">
        <v>190</v>
      </c>
    </row>
    <row r="194" spans="3:34" ht="15" x14ac:dyDescent="0.25">
      <c r="C194" s="123">
        <v>291</v>
      </c>
      <c r="D194" s="123"/>
      <c r="E194" s="123" t="s">
        <v>258</v>
      </c>
      <c r="F194" s="124">
        <f>F195+F196</f>
        <v>0</v>
      </c>
      <c r="G194" s="124">
        <f t="shared" ref="G194:AF194" si="44">G195+G196</f>
        <v>0</v>
      </c>
      <c r="H194" s="124">
        <f t="shared" si="44"/>
        <v>0</v>
      </c>
      <c r="I194" s="124">
        <f t="shared" si="44"/>
        <v>0</v>
      </c>
      <c r="J194" s="124">
        <f t="shared" si="44"/>
        <v>0</v>
      </c>
      <c r="K194" s="124">
        <f t="shared" si="44"/>
        <v>0</v>
      </c>
      <c r="L194" s="124">
        <f t="shared" si="44"/>
        <v>0</v>
      </c>
      <c r="M194" s="124">
        <f t="shared" si="44"/>
        <v>0</v>
      </c>
      <c r="N194" s="124">
        <f t="shared" si="44"/>
        <v>0</v>
      </c>
      <c r="O194" s="124">
        <f t="shared" si="44"/>
        <v>0</v>
      </c>
      <c r="P194" s="124">
        <f t="shared" si="44"/>
        <v>0</v>
      </c>
      <c r="Q194" s="124">
        <f t="shared" si="44"/>
        <v>0</v>
      </c>
      <c r="R194" s="124">
        <f t="shared" si="44"/>
        <v>0</v>
      </c>
      <c r="S194" s="124">
        <f t="shared" si="44"/>
        <v>0</v>
      </c>
      <c r="T194" s="124">
        <f t="shared" si="44"/>
        <v>0</v>
      </c>
      <c r="U194" s="124">
        <f t="shared" si="44"/>
        <v>0</v>
      </c>
      <c r="V194" s="124">
        <f t="shared" si="44"/>
        <v>0</v>
      </c>
      <c r="W194" s="124">
        <f t="shared" si="44"/>
        <v>0</v>
      </c>
      <c r="X194" s="124">
        <f t="shared" si="44"/>
        <v>0</v>
      </c>
      <c r="Y194" s="124">
        <f t="shared" si="44"/>
        <v>0</v>
      </c>
      <c r="Z194" s="124">
        <f t="shared" si="44"/>
        <v>0</v>
      </c>
      <c r="AA194" s="124">
        <f t="shared" si="44"/>
        <v>0</v>
      </c>
      <c r="AB194" s="124">
        <f t="shared" si="44"/>
        <v>0</v>
      </c>
      <c r="AC194" s="124">
        <f t="shared" si="44"/>
        <v>0</v>
      </c>
      <c r="AD194" s="124">
        <f t="shared" si="44"/>
        <v>0</v>
      </c>
      <c r="AE194" s="124">
        <f t="shared" si="44"/>
        <v>0</v>
      </c>
      <c r="AF194" s="124">
        <f t="shared" si="44"/>
        <v>0</v>
      </c>
      <c r="AG194" s="124">
        <f>SUM(F194:AF194)</f>
        <v>0</v>
      </c>
      <c r="AH194" s="8">
        <v>191</v>
      </c>
    </row>
    <row r="195" spans="3:34"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0</v>
      </c>
      <c r="AD195" s="13">
        <v>0</v>
      </c>
      <c r="AE195" s="13">
        <v>0</v>
      </c>
      <c r="AF195" s="13">
        <v>0</v>
      </c>
      <c r="AG195" s="95">
        <f>SUM(F195:AF195)</f>
        <v>0</v>
      </c>
      <c r="AH195" s="8">
        <v>192</v>
      </c>
    </row>
    <row r="196" spans="3:34"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95">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5"/>
      <c r="AH197" s="8">
        <v>194</v>
      </c>
    </row>
    <row r="198" spans="3:34" ht="15" x14ac:dyDescent="0.25">
      <c r="C198" s="123">
        <v>292</v>
      </c>
      <c r="D198" s="123"/>
      <c r="E198" s="123" t="s">
        <v>259</v>
      </c>
      <c r="F198" s="124">
        <f>F199</f>
        <v>0</v>
      </c>
      <c r="G198" s="124">
        <f t="shared" ref="G198:AF198" si="45">G199</f>
        <v>0</v>
      </c>
      <c r="H198" s="124">
        <f t="shared" si="45"/>
        <v>0</v>
      </c>
      <c r="I198" s="124">
        <f t="shared" si="45"/>
        <v>0</v>
      </c>
      <c r="J198" s="124">
        <f t="shared" si="45"/>
        <v>0</v>
      </c>
      <c r="K198" s="124">
        <f t="shared" si="45"/>
        <v>0</v>
      </c>
      <c r="L198" s="124">
        <f t="shared" si="45"/>
        <v>0</v>
      </c>
      <c r="M198" s="124">
        <f t="shared" si="45"/>
        <v>0</v>
      </c>
      <c r="N198" s="124">
        <f t="shared" si="45"/>
        <v>0</v>
      </c>
      <c r="O198" s="124">
        <f t="shared" si="45"/>
        <v>0</v>
      </c>
      <c r="P198" s="124">
        <f t="shared" si="45"/>
        <v>0</v>
      </c>
      <c r="Q198" s="124">
        <f t="shared" si="45"/>
        <v>0</v>
      </c>
      <c r="R198" s="124">
        <f t="shared" si="45"/>
        <v>0</v>
      </c>
      <c r="S198" s="124">
        <f t="shared" si="45"/>
        <v>0</v>
      </c>
      <c r="T198" s="124">
        <f t="shared" si="45"/>
        <v>0</v>
      </c>
      <c r="U198" s="124">
        <f t="shared" si="45"/>
        <v>0</v>
      </c>
      <c r="V198" s="124">
        <f t="shared" si="45"/>
        <v>0</v>
      </c>
      <c r="W198" s="124">
        <f t="shared" si="45"/>
        <v>10399.75</v>
      </c>
      <c r="X198" s="124">
        <f t="shared" si="45"/>
        <v>0</v>
      </c>
      <c r="Y198" s="124">
        <f t="shared" si="45"/>
        <v>0</v>
      </c>
      <c r="Z198" s="124">
        <f t="shared" si="45"/>
        <v>0</v>
      </c>
      <c r="AA198" s="124">
        <f t="shared" si="45"/>
        <v>0</v>
      </c>
      <c r="AB198" s="124">
        <f t="shared" si="45"/>
        <v>0</v>
      </c>
      <c r="AC198" s="124">
        <f t="shared" si="45"/>
        <v>0</v>
      </c>
      <c r="AD198" s="124">
        <f t="shared" si="45"/>
        <v>0</v>
      </c>
      <c r="AE198" s="124">
        <f t="shared" si="45"/>
        <v>0</v>
      </c>
      <c r="AF198" s="124">
        <f t="shared" si="45"/>
        <v>0</v>
      </c>
      <c r="AG198" s="124">
        <f>SUM(F198:AF198)</f>
        <v>10399.75</v>
      </c>
      <c r="AH198" s="8">
        <v>195</v>
      </c>
    </row>
    <row r="199" spans="3:34"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10399.75</v>
      </c>
      <c r="X199" s="13">
        <v>0</v>
      </c>
      <c r="Y199" s="13">
        <v>0</v>
      </c>
      <c r="Z199" s="13">
        <v>0</v>
      </c>
      <c r="AA199" s="13">
        <v>0</v>
      </c>
      <c r="AB199" s="13">
        <v>0</v>
      </c>
      <c r="AC199" s="13">
        <v>0</v>
      </c>
      <c r="AD199" s="13">
        <v>0</v>
      </c>
      <c r="AE199" s="13">
        <v>0</v>
      </c>
      <c r="AF199" s="13">
        <v>0</v>
      </c>
      <c r="AG199" s="95">
        <f>SUM(F199:AF199)</f>
        <v>10399.75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5"/>
      <c r="AH200" s="8">
        <v>197</v>
      </c>
    </row>
    <row r="201" spans="3:34" ht="15" x14ac:dyDescent="0.25">
      <c r="C201" s="123">
        <v>293</v>
      </c>
      <c r="D201" s="123"/>
      <c r="E201" s="123" t="s">
        <v>260</v>
      </c>
      <c r="F201" s="124">
        <f>F202</f>
        <v>0</v>
      </c>
      <c r="G201" s="124">
        <f t="shared" ref="G201:AF201" si="46">G202</f>
        <v>0</v>
      </c>
      <c r="H201" s="124">
        <f t="shared" si="46"/>
        <v>0</v>
      </c>
      <c r="I201" s="124">
        <f t="shared" si="46"/>
        <v>8271668.6900000004</v>
      </c>
      <c r="J201" s="124">
        <f t="shared" si="46"/>
        <v>0</v>
      </c>
      <c r="K201" s="124">
        <f t="shared" si="46"/>
        <v>0</v>
      </c>
      <c r="L201" s="124">
        <f t="shared" si="46"/>
        <v>0</v>
      </c>
      <c r="M201" s="124">
        <f t="shared" si="46"/>
        <v>0</v>
      </c>
      <c r="N201" s="124">
        <f t="shared" si="46"/>
        <v>0</v>
      </c>
      <c r="O201" s="124">
        <f t="shared" si="46"/>
        <v>0</v>
      </c>
      <c r="P201" s="124">
        <f t="shared" si="46"/>
        <v>11027465.75</v>
      </c>
      <c r="Q201" s="124">
        <f t="shared" si="46"/>
        <v>0</v>
      </c>
      <c r="R201" s="124">
        <f t="shared" si="46"/>
        <v>0</v>
      </c>
      <c r="S201" s="124">
        <f t="shared" si="46"/>
        <v>0</v>
      </c>
      <c r="T201" s="124">
        <f t="shared" si="46"/>
        <v>0</v>
      </c>
      <c r="U201" s="124">
        <f t="shared" si="46"/>
        <v>0</v>
      </c>
      <c r="V201" s="124">
        <f t="shared" si="46"/>
        <v>0</v>
      </c>
      <c r="W201" s="124">
        <f t="shared" si="46"/>
        <v>0</v>
      </c>
      <c r="X201" s="124">
        <f t="shared" si="46"/>
        <v>0</v>
      </c>
      <c r="Y201" s="124">
        <f t="shared" si="46"/>
        <v>0</v>
      </c>
      <c r="Z201" s="124">
        <f t="shared" si="46"/>
        <v>0</v>
      </c>
      <c r="AA201" s="124">
        <f t="shared" si="46"/>
        <v>0</v>
      </c>
      <c r="AB201" s="124">
        <f t="shared" si="46"/>
        <v>2215240.0499999998</v>
      </c>
      <c r="AC201" s="124">
        <f t="shared" si="46"/>
        <v>0</v>
      </c>
      <c r="AD201" s="124">
        <f t="shared" si="46"/>
        <v>0</v>
      </c>
      <c r="AE201" s="124">
        <f t="shared" si="46"/>
        <v>0</v>
      </c>
      <c r="AF201" s="124">
        <f t="shared" si="46"/>
        <v>0</v>
      </c>
      <c r="AG201" s="124">
        <f>SUM(F201:AF201)</f>
        <v>21514374.490000002</v>
      </c>
      <c r="AH201" s="8">
        <v>198</v>
      </c>
    </row>
    <row r="202" spans="3:34" ht="15" x14ac:dyDescent="0.25">
      <c r="D202" s="8">
        <v>2930</v>
      </c>
      <c r="E202" s="8" t="s">
        <v>260</v>
      </c>
      <c r="F202" s="13">
        <v>0</v>
      </c>
      <c r="G202" s="13">
        <v>0</v>
      </c>
      <c r="H202" s="13">
        <v>0</v>
      </c>
      <c r="I202" s="13">
        <v>8271668.6900000004</v>
      </c>
      <c r="J202" s="13">
        <v>0</v>
      </c>
      <c r="K202" s="13">
        <v>0</v>
      </c>
      <c r="L202" s="13">
        <v>0</v>
      </c>
      <c r="M202" s="13">
        <v>0</v>
      </c>
      <c r="N202" s="13">
        <v>0</v>
      </c>
      <c r="O202" s="13">
        <v>0</v>
      </c>
      <c r="P202" s="13">
        <v>11027465.75</v>
      </c>
      <c r="Q202" s="13">
        <v>0</v>
      </c>
      <c r="R202" s="13">
        <v>0</v>
      </c>
      <c r="S202" s="13">
        <v>0</v>
      </c>
      <c r="T202" s="13">
        <v>0</v>
      </c>
      <c r="U202" s="13">
        <v>0</v>
      </c>
      <c r="V202" s="13">
        <v>0</v>
      </c>
      <c r="W202" s="13">
        <v>0</v>
      </c>
      <c r="X202" s="13">
        <v>0</v>
      </c>
      <c r="Y202" s="13">
        <v>0</v>
      </c>
      <c r="Z202" s="13">
        <v>0</v>
      </c>
      <c r="AA202" s="13">
        <v>0</v>
      </c>
      <c r="AB202" s="13">
        <v>2215240.0499999998</v>
      </c>
      <c r="AC202" s="13">
        <v>0</v>
      </c>
      <c r="AD202" s="13">
        <v>0</v>
      </c>
      <c r="AE202" s="13">
        <v>0</v>
      </c>
      <c r="AF202" s="13">
        <v>0</v>
      </c>
      <c r="AG202" s="95">
        <f>SUM(F202:AF202)</f>
        <v>21514374.490000002</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5"/>
      <c r="AH203" s="8">
        <v>200</v>
      </c>
    </row>
    <row r="204" spans="3:34" ht="15" x14ac:dyDescent="0.25">
      <c r="C204" s="123">
        <v>294</v>
      </c>
      <c r="D204" s="123"/>
      <c r="E204" s="123" t="s">
        <v>261</v>
      </c>
      <c r="F204" s="124">
        <f>F205</f>
        <v>0</v>
      </c>
      <c r="G204" s="124">
        <f t="shared" ref="G204:AF204" si="47">G205</f>
        <v>0</v>
      </c>
      <c r="H204" s="124">
        <f t="shared" si="47"/>
        <v>0</v>
      </c>
      <c r="I204" s="124">
        <f t="shared" si="47"/>
        <v>0</v>
      </c>
      <c r="J204" s="124">
        <f t="shared" si="47"/>
        <v>0</v>
      </c>
      <c r="K204" s="124">
        <f t="shared" si="47"/>
        <v>0</v>
      </c>
      <c r="L204" s="124">
        <f t="shared" si="47"/>
        <v>0</v>
      </c>
      <c r="M204" s="124">
        <f t="shared" si="47"/>
        <v>0</v>
      </c>
      <c r="N204" s="124">
        <f t="shared" si="47"/>
        <v>0</v>
      </c>
      <c r="O204" s="124">
        <f t="shared" si="47"/>
        <v>0</v>
      </c>
      <c r="P204" s="124">
        <f t="shared" si="47"/>
        <v>141113.85999999999</v>
      </c>
      <c r="Q204" s="124">
        <f t="shared" si="47"/>
        <v>11638.05</v>
      </c>
      <c r="R204" s="124">
        <f t="shared" si="47"/>
        <v>0</v>
      </c>
      <c r="S204" s="124">
        <f t="shared" si="47"/>
        <v>0</v>
      </c>
      <c r="T204" s="124">
        <f t="shared" si="47"/>
        <v>0</v>
      </c>
      <c r="U204" s="124">
        <f t="shared" si="47"/>
        <v>0</v>
      </c>
      <c r="V204" s="124">
        <f t="shared" si="47"/>
        <v>21546.03</v>
      </c>
      <c r="W204" s="124">
        <f t="shared" si="47"/>
        <v>0</v>
      </c>
      <c r="X204" s="124">
        <f t="shared" si="47"/>
        <v>0</v>
      </c>
      <c r="Y204" s="124">
        <f t="shared" si="47"/>
        <v>0</v>
      </c>
      <c r="Z204" s="124">
        <f t="shared" si="47"/>
        <v>0</v>
      </c>
      <c r="AA204" s="124">
        <f t="shared" si="47"/>
        <v>0</v>
      </c>
      <c r="AB204" s="124">
        <f t="shared" si="47"/>
        <v>79539.45</v>
      </c>
      <c r="AC204" s="124">
        <f t="shared" si="47"/>
        <v>0</v>
      </c>
      <c r="AD204" s="124">
        <f t="shared" si="47"/>
        <v>0</v>
      </c>
      <c r="AE204" s="124">
        <f t="shared" si="47"/>
        <v>270000</v>
      </c>
      <c r="AF204" s="124">
        <f t="shared" si="47"/>
        <v>0</v>
      </c>
      <c r="AG204" s="124">
        <f>SUM(F204:AF204)</f>
        <v>523837.38999999996</v>
      </c>
      <c r="AH204" s="8">
        <v>201</v>
      </c>
    </row>
    <row r="205" spans="3:34" ht="15" x14ac:dyDescent="0.25">
      <c r="D205" s="8">
        <v>2940</v>
      </c>
      <c r="E205" s="8" t="s">
        <v>261</v>
      </c>
      <c r="F205" s="13">
        <v>0</v>
      </c>
      <c r="G205" s="13">
        <v>0</v>
      </c>
      <c r="H205" s="13">
        <v>0</v>
      </c>
      <c r="I205" s="13">
        <v>0</v>
      </c>
      <c r="J205" s="13">
        <v>0</v>
      </c>
      <c r="K205" s="13">
        <v>0</v>
      </c>
      <c r="L205" s="13">
        <v>0</v>
      </c>
      <c r="M205" s="13">
        <v>0</v>
      </c>
      <c r="N205" s="13">
        <v>0</v>
      </c>
      <c r="O205" s="13">
        <v>0</v>
      </c>
      <c r="P205" s="13">
        <v>141113.85999999999</v>
      </c>
      <c r="Q205" s="13">
        <v>11638.05</v>
      </c>
      <c r="R205" s="13">
        <v>0</v>
      </c>
      <c r="S205" s="13">
        <v>0</v>
      </c>
      <c r="T205" s="13">
        <v>0</v>
      </c>
      <c r="U205" s="13">
        <v>0</v>
      </c>
      <c r="V205" s="13">
        <v>21546.03</v>
      </c>
      <c r="W205" s="13">
        <v>0</v>
      </c>
      <c r="X205" s="13">
        <v>0</v>
      </c>
      <c r="Y205" s="13">
        <v>0</v>
      </c>
      <c r="Z205" s="13">
        <v>0</v>
      </c>
      <c r="AA205" s="13">
        <v>0</v>
      </c>
      <c r="AB205" s="13">
        <v>79539.45</v>
      </c>
      <c r="AC205" s="13">
        <v>0</v>
      </c>
      <c r="AD205" s="13">
        <v>0</v>
      </c>
      <c r="AE205" s="13">
        <v>270000</v>
      </c>
      <c r="AF205" s="13">
        <v>0</v>
      </c>
      <c r="AG205" s="95">
        <f>SUM(F205:AF205)</f>
        <v>523837.38999999996</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5"/>
      <c r="AH206" s="8">
        <v>203</v>
      </c>
    </row>
    <row r="207" spans="3:34" ht="15" x14ac:dyDescent="0.25">
      <c r="C207" s="123">
        <v>295</v>
      </c>
      <c r="D207" s="123"/>
      <c r="E207" s="123" t="s">
        <v>262</v>
      </c>
      <c r="F207" s="124">
        <f>F208</f>
        <v>0</v>
      </c>
      <c r="G207" s="124">
        <f t="shared" ref="G207:AF207" si="48">G208</f>
        <v>61926300</v>
      </c>
      <c r="H207" s="124">
        <f>H208</f>
        <v>0</v>
      </c>
      <c r="I207" s="124">
        <f t="shared" si="48"/>
        <v>0</v>
      </c>
      <c r="J207" s="124">
        <f t="shared" si="48"/>
        <v>0</v>
      </c>
      <c r="K207" s="124">
        <f t="shared" si="48"/>
        <v>516478.67</v>
      </c>
      <c r="L207" s="124">
        <f t="shared" si="48"/>
        <v>0</v>
      </c>
      <c r="M207" s="124">
        <f t="shared" si="48"/>
        <v>0</v>
      </c>
      <c r="N207" s="124">
        <f t="shared" si="48"/>
        <v>0</v>
      </c>
      <c r="O207" s="124">
        <f t="shared" si="48"/>
        <v>0</v>
      </c>
      <c r="P207" s="124">
        <f t="shared" si="48"/>
        <v>0</v>
      </c>
      <c r="Q207" s="124">
        <f t="shared" si="48"/>
        <v>0</v>
      </c>
      <c r="R207" s="124">
        <f t="shared" si="48"/>
        <v>0</v>
      </c>
      <c r="S207" s="124">
        <f t="shared" si="48"/>
        <v>0</v>
      </c>
      <c r="T207" s="124">
        <f t="shared" si="48"/>
        <v>0</v>
      </c>
      <c r="U207" s="124">
        <f t="shared" si="48"/>
        <v>0</v>
      </c>
      <c r="V207" s="124">
        <f t="shared" si="48"/>
        <v>0</v>
      </c>
      <c r="W207" s="124">
        <f t="shared" si="48"/>
        <v>0</v>
      </c>
      <c r="X207" s="124">
        <f t="shared" si="48"/>
        <v>0</v>
      </c>
      <c r="Y207" s="124">
        <f t="shared" si="48"/>
        <v>0</v>
      </c>
      <c r="Z207" s="124">
        <f t="shared" si="48"/>
        <v>1612333</v>
      </c>
      <c r="AA207" s="124">
        <f t="shared" si="48"/>
        <v>0</v>
      </c>
      <c r="AB207" s="124">
        <f t="shared" si="48"/>
        <v>0</v>
      </c>
      <c r="AC207" s="124">
        <f t="shared" si="48"/>
        <v>0</v>
      </c>
      <c r="AD207" s="124">
        <f t="shared" si="48"/>
        <v>0</v>
      </c>
      <c r="AE207" s="124">
        <f t="shared" si="48"/>
        <v>0</v>
      </c>
      <c r="AF207" s="124">
        <f t="shared" si="48"/>
        <v>0</v>
      </c>
      <c r="AG207" s="124">
        <f>SUM(F207:AF207)</f>
        <v>64055111.670000002</v>
      </c>
      <c r="AH207" s="8">
        <v>204</v>
      </c>
    </row>
    <row r="208" spans="3:34" ht="15" x14ac:dyDescent="0.25">
      <c r="D208" s="8">
        <v>2950</v>
      </c>
      <c r="E208" s="8" t="s">
        <v>262</v>
      </c>
      <c r="F208" s="13">
        <v>0</v>
      </c>
      <c r="G208" s="13">
        <v>61926300</v>
      </c>
      <c r="H208" s="13">
        <v>0</v>
      </c>
      <c r="I208" s="13">
        <v>0</v>
      </c>
      <c r="J208" s="13">
        <v>0</v>
      </c>
      <c r="K208" s="13">
        <v>516478.67</v>
      </c>
      <c r="L208" s="13">
        <v>0</v>
      </c>
      <c r="M208" s="13">
        <v>0</v>
      </c>
      <c r="N208" s="13">
        <v>0</v>
      </c>
      <c r="O208" s="13">
        <v>0</v>
      </c>
      <c r="P208" s="13">
        <v>0</v>
      </c>
      <c r="Q208" s="13">
        <v>0</v>
      </c>
      <c r="R208" s="13">
        <v>0</v>
      </c>
      <c r="S208" s="13">
        <v>0</v>
      </c>
      <c r="T208" s="13">
        <v>0</v>
      </c>
      <c r="U208" s="13">
        <v>0</v>
      </c>
      <c r="V208" s="13">
        <v>0</v>
      </c>
      <c r="W208" s="13">
        <v>0</v>
      </c>
      <c r="X208" s="13">
        <v>0</v>
      </c>
      <c r="Y208" s="13">
        <v>0</v>
      </c>
      <c r="Z208" s="13">
        <v>1612333</v>
      </c>
      <c r="AA208" s="13">
        <v>0</v>
      </c>
      <c r="AB208" s="13">
        <v>0</v>
      </c>
      <c r="AC208" s="13">
        <v>0</v>
      </c>
      <c r="AD208" s="13">
        <v>0</v>
      </c>
      <c r="AE208" s="13">
        <v>0</v>
      </c>
      <c r="AF208" s="13">
        <v>0</v>
      </c>
      <c r="AG208" s="95">
        <f>SUM(F208:AF208)</f>
        <v>64055111.670000002</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5"/>
      <c r="AH209" s="8">
        <v>206</v>
      </c>
    </row>
    <row r="210" spans="3:34" ht="15" x14ac:dyDescent="0.25">
      <c r="C210" s="123">
        <v>296</v>
      </c>
      <c r="D210" s="123"/>
      <c r="E210" s="123" t="s">
        <v>263</v>
      </c>
      <c r="F210" s="124">
        <f>F211</f>
        <v>0</v>
      </c>
      <c r="G210" s="124">
        <f t="shared" ref="G210:AF210" si="49">G211</f>
        <v>0</v>
      </c>
      <c r="H210" s="124">
        <f t="shared" si="49"/>
        <v>0</v>
      </c>
      <c r="I210" s="124">
        <f t="shared" si="49"/>
        <v>0</v>
      </c>
      <c r="J210" s="124">
        <f t="shared" si="49"/>
        <v>0</v>
      </c>
      <c r="K210" s="124">
        <f t="shared" si="49"/>
        <v>0</v>
      </c>
      <c r="L210" s="124">
        <f t="shared" si="49"/>
        <v>0</v>
      </c>
      <c r="M210" s="124">
        <f t="shared" si="49"/>
        <v>0</v>
      </c>
      <c r="N210" s="124">
        <f t="shared" si="49"/>
        <v>0</v>
      </c>
      <c r="O210" s="124">
        <f t="shared" si="49"/>
        <v>0</v>
      </c>
      <c r="P210" s="124">
        <f t="shared" si="49"/>
        <v>0</v>
      </c>
      <c r="Q210" s="124">
        <f t="shared" si="49"/>
        <v>0</v>
      </c>
      <c r="R210" s="124">
        <f t="shared" si="49"/>
        <v>0</v>
      </c>
      <c r="S210" s="124">
        <f t="shared" si="49"/>
        <v>0</v>
      </c>
      <c r="T210" s="124">
        <f t="shared" si="49"/>
        <v>0</v>
      </c>
      <c r="U210" s="124">
        <f t="shared" si="49"/>
        <v>63519</v>
      </c>
      <c r="V210" s="124">
        <f t="shared" si="49"/>
        <v>0</v>
      </c>
      <c r="W210" s="124">
        <f t="shared" si="49"/>
        <v>0</v>
      </c>
      <c r="X210" s="124">
        <f t="shared" si="49"/>
        <v>0</v>
      </c>
      <c r="Y210" s="124">
        <f t="shared" si="49"/>
        <v>0</v>
      </c>
      <c r="Z210" s="124">
        <f t="shared" si="49"/>
        <v>0</v>
      </c>
      <c r="AA210" s="124">
        <f t="shared" si="49"/>
        <v>0</v>
      </c>
      <c r="AB210" s="124">
        <f t="shared" si="49"/>
        <v>0</v>
      </c>
      <c r="AC210" s="124">
        <f t="shared" si="49"/>
        <v>0</v>
      </c>
      <c r="AD210" s="124">
        <f t="shared" si="49"/>
        <v>0</v>
      </c>
      <c r="AE210" s="124">
        <f t="shared" si="49"/>
        <v>0</v>
      </c>
      <c r="AF210" s="124">
        <f t="shared" si="49"/>
        <v>0</v>
      </c>
      <c r="AG210" s="124">
        <f>SUM(F210:AF210)</f>
        <v>63519</v>
      </c>
      <c r="AH210" s="8">
        <v>207</v>
      </c>
    </row>
    <row r="211" spans="3:34" ht="15" x14ac:dyDescent="0.25">
      <c r="D211" s="8">
        <v>2960</v>
      </c>
      <c r="E211" s="8" t="s">
        <v>263</v>
      </c>
      <c r="F211" s="13">
        <v>0</v>
      </c>
      <c r="G211" s="13">
        <v>0</v>
      </c>
      <c r="H211" s="13">
        <v>0</v>
      </c>
      <c r="I211" s="13">
        <v>0</v>
      </c>
      <c r="J211" s="13">
        <v>0</v>
      </c>
      <c r="K211" s="13">
        <v>0</v>
      </c>
      <c r="L211" s="13">
        <v>0</v>
      </c>
      <c r="M211" s="13">
        <v>0</v>
      </c>
      <c r="N211" s="13">
        <v>0</v>
      </c>
      <c r="O211" s="13">
        <v>0</v>
      </c>
      <c r="P211" s="13">
        <v>0</v>
      </c>
      <c r="Q211" s="13">
        <v>0</v>
      </c>
      <c r="R211" s="13">
        <v>0</v>
      </c>
      <c r="S211" s="13">
        <v>0</v>
      </c>
      <c r="T211" s="13">
        <v>0</v>
      </c>
      <c r="U211" s="13">
        <v>63519</v>
      </c>
      <c r="V211" s="13">
        <v>0</v>
      </c>
      <c r="W211" s="13">
        <v>0</v>
      </c>
      <c r="X211" s="13">
        <v>0</v>
      </c>
      <c r="Y211" s="13">
        <v>0</v>
      </c>
      <c r="Z211" s="13">
        <v>0</v>
      </c>
      <c r="AA211" s="13">
        <v>0</v>
      </c>
      <c r="AB211" s="13">
        <v>0</v>
      </c>
      <c r="AC211" s="13">
        <v>0</v>
      </c>
      <c r="AD211" s="13">
        <v>0</v>
      </c>
      <c r="AE211" s="13">
        <v>0</v>
      </c>
      <c r="AF211" s="13">
        <v>0</v>
      </c>
      <c r="AG211" s="95">
        <f>SUM(F211:AF211)</f>
        <v>63519</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5"/>
      <c r="AH212" s="8">
        <v>209</v>
      </c>
    </row>
    <row r="213" spans="3:34" ht="15" x14ac:dyDescent="0.25">
      <c r="C213" s="123">
        <v>298</v>
      </c>
      <c r="D213" s="123"/>
      <c r="E213" s="123" t="s">
        <v>264</v>
      </c>
      <c r="F213" s="124">
        <f>F214</f>
        <v>0</v>
      </c>
      <c r="G213" s="124">
        <f t="shared" ref="G213:AF213" si="50">G214</f>
        <v>0</v>
      </c>
      <c r="H213" s="124">
        <f t="shared" si="50"/>
        <v>0</v>
      </c>
      <c r="I213" s="124">
        <f t="shared" si="50"/>
        <v>0</v>
      </c>
      <c r="J213" s="124">
        <f t="shared" si="50"/>
        <v>0</v>
      </c>
      <c r="K213" s="124">
        <f t="shared" si="50"/>
        <v>0</v>
      </c>
      <c r="L213" s="124">
        <f t="shared" si="50"/>
        <v>0</v>
      </c>
      <c r="M213" s="124">
        <f t="shared" si="50"/>
        <v>0</v>
      </c>
      <c r="N213" s="124">
        <f t="shared" si="50"/>
        <v>0</v>
      </c>
      <c r="O213" s="124">
        <f t="shared" si="50"/>
        <v>0</v>
      </c>
      <c r="P213" s="124">
        <f t="shared" si="50"/>
        <v>0</v>
      </c>
      <c r="Q213" s="124">
        <f t="shared" si="50"/>
        <v>0</v>
      </c>
      <c r="R213" s="124">
        <f t="shared" si="50"/>
        <v>0</v>
      </c>
      <c r="S213" s="124">
        <f t="shared" si="50"/>
        <v>0</v>
      </c>
      <c r="T213" s="124">
        <f t="shared" si="50"/>
        <v>0</v>
      </c>
      <c r="U213" s="124">
        <f t="shared" si="50"/>
        <v>0</v>
      </c>
      <c r="V213" s="124">
        <f t="shared" si="50"/>
        <v>0</v>
      </c>
      <c r="W213" s="124">
        <f t="shared" si="50"/>
        <v>0</v>
      </c>
      <c r="X213" s="124">
        <f t="shared" si="50"/>
        <v>0</v>
      </c>
      <c r="Y213" s="124">
        <f t="shared" si="50"/>
        <v>0</v>
      </c>
      <c r="Z213" s="124">
        <f t="shared" si="50"/>
        <v>0</v>
      </c>
      <c r="AA213" s="124">
        <f t="shared" si="50"/>
        <v>0</v>
      </c>
      <c r="AB213" s="124">
        <f t="shared" si="50"/>
        <v>0</v>
      </c>
      <c r="AC213" s="124">
        <f t="shared" si="50"/>
        <v>0</v>
      </c>
      <c r="AD213" s="124">
        <f t="shared" si="50"/>
        <v>0</v>
      </c>
      <c r="AE213" s="124">
        <f t="shared" si="50"/>
        <v>0</v>
      </c>
      <c r="AF213" s="124">
        <f t="shared" si="50"/>
        <v>0</v>
      </c>
      <c r="AG213" s="124">
        <f>SUM(F213:AF213)</f>
        <v>0</v>
      </c>
      <c r="AH213" s="8">
        <v>210</v>
      </c>
    </row>
    <row r="214" spans="3:34"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95">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5"/>
      <c r="AH215" s="8">
        <v>212</v>
      </c>
    </row>
    <row r="216" spans="3:34" ht="15" x14ac:dyDescent="0.25">
      <c r="C216" s="123">
        <v>299</v>
      </c>
      <c r="D216" s="123"/>
      <c r="E216" s="123" t="s">
        <v>438</v>
      </c>
      <c r="F216" s="124">
        <f>F217+F218</f>
        <v>768182.21</v>
      </c>
      <c r="G216" s="124">
        <f t="shared" ref="G216:AF216" si="51">G217+G218</f>
        <v>0</v>
      </c>
      <c r="H216" s="124">
        <f t="shared" si="51"/>
        <v>120177.74</v>
      </c>
      <c r="I216" s="124">
        <f t="shared" si="51"/>
        <v>2189307.02</v>
      </c>
      <c r="J216" s="124">
        <f t="shared" si="51"/>
        <v>0</v>
      </c>
      <c r="K216" s="124">
        <f t="shared" si="51"/>
        <v>0</v>
      </c>
      <c r="L216" s="124">
        <f t="shared" si="51"/>
        <v>0</v>
      </c>
      <c r="M216" s="124">
        <f t="shared" si="51"/>
        <v>0</v>
      </c>
      <c r="N216" s="124">
        <f t="shared" si="51"/>
        <v>0</v>
      </c>
      <c r="O216" s="124">
        <f t="shared" si="51"/>
        <v>21341.26</v>
      </c>
      <c r="P216" s="124">
        <f t="shared" si="51"/>
        <v>1330168.5900000001</v>
      </c>
      <c r="Q216" s="124">
        <f t="shared" si="51"/>
        <v>70000</v>
      </c>
      <c r="R216" s="124">
        <f t="shared" si="51"/>
        <v>2570.59</v>
      </c>
      <c r="S216" s="124">
        <f t="shared" si="51"/>
        <v>40394.71</v>
      </c>
      <c r="T216" s="124">
        <f t="shared" si="51"/>
        <v>5238.6500000000005</v>
      </c>
      <c r="U216" s="124">
        <f t="shared" si="51"/>
        <v>891585.22000000009</v>
      </c>
      <c r="V216" s="124">
        <f t="shared" si="51"/>
        <v>504332.89</v>
      </c>
      <c r="W216" s="124">
        <f t="shared" si="51"/>
        <v>0</v>
      </c>
      <c r="X216" s="124">
        <f t="shared" si="51"/>
        <v>29060.15</v>
      </c>
      <c r="Y216" s="124">
        <f>Y217+Y218</f>
        <v>783406.86</v>
      </c>
      <c r="Z216" s="124">
        <f t="shared" si="51"/>
        <v>877922.02</v>
      </c>
      <c r="AA216" s="124">
        <f t="shared" si="51"/>
        <v>304059.52000000002</v>
      </c>
      <c r="AB216" s="124">
        <f t="shared" si="51"/>
        <v>0</v>
      </c>
      <c r="AC216" s="124">
        <f t="shared" si="51"/>
        <v>302346.57</v>
      </c>
      <c r="AD216" s="124">
        <f t="shared" si="51"/>
        <v>0</v>
      </c>
      <c r="AE216" s="124">
        <f t="shared" si="51"/>
        <v>240909.43</v>
      </c>
      <c r="AF216" s="124">
        <f t="shared" si="51"/>
        <v>-27052.019999999997</v>
      </c>
      <c r="AG216" s="124">
        <f>SUM(F216:AF216)</f>
        <v>8453951.4100000001</v>
      </c>
      <c r="AH216" s="8">
        <v>213</v>
      </c>
    </row>
    <row r="217" spans="3:34" ht="15" x14ac:dyDescent="0.25">
      <c r="D217" s="8">
        <v>2990</v>
      </c>
      <c r="E217" s="8" t="s">
        <v>438</v>
      </c>
      <c r="F217" s="19">
        <v>0</v>
      </c>
      <c r="G217" s="19">
        <v>0</v>
      </c>
      <c r="H217" s="19">
        <v>29380.97</v>
      </c>
      <c r="I217" s="19">
        <v>131360.03</v>
      </c>
      <c r="J217" s="19">
        <v>0</v>
      </c>
      <c r="K217" s="19">
        <v>0</v>
      </c>
      <c r="L217" s="19">
        <v>0</v>
      </c>
      <c r="M217" s="19">
        <v>0</v>
      </c>
      <c r="N217" s="19">
        <v>0</v>
      </c>
      <c r="O217" s="19">
        <v>0</v>
      </c>
      <c r="P217" s="19">
        <v>212168.06</v>
      </c>
      <c r="Q217" s="19">
        <v>0</v>
      </c>
      <c r="R217" s="19">
        <v>0</v>
      </c>
      <c r="S217" s="19">
        <v>-84.41</v>
      </c>
      <c r="T217" s="19">
        <v>-182.15</v>
      </c>
      <c r="U217" s="19">
        <v>-17144.7</v>
      </c>
      <c r="V217" s="19">
        <v>87200.87</v>
      </c>
      <c r="W217" s="19">
        <v>0</v>
      </c>
      <c r="X217" s="19">
        <v>1086.9000000000001</v>
      </c>
      <c r="Y217" s="19">
        <v>-6532.15</v>
      </c>
      <c r="Z217" s="19">
        <v>-16951.79</v>
      </c>
      <c r="AA217" s="19">
        <v>34988.94</v>
      </c>
      <c r="AB217" s="19">
        <v>0</v>
      </c>
      <c r="AC217" s="19">
        <v>-46773.440000000002</v>
      </c>
      <c r="AD217" s="19">
        <v>0</v>
      </c>
      <c r="AE217" s="19">
        <v>240909.43</v>
      </c>
      <c r="AF217" s="19">
        <v>12714.11</v>
      </c>
      <c r="AG217" s="125">
        <f>SUM(F217:AF217)</f>
        <v>662140.67000000004</v>
      </c>
      <c r="AH217" s="8">
        <v>214</v>
      </c>
    </row>
    <row r="218" spans="3:34" ht="15" x14ac:dyDescent="0.25">
      <c r="D218" s="8">
        <v>2999</v>
      </c>
      <c r="E218" s="8" t="s">
        <v>815</v>
      </c>
      <c r="F218" s="19">
        <v>768182.21</v>
      </c>
      <c r="G218" s="19">
        <v>0</v>
      </c>
      <c r="H218" s="19">
        <v>90796.77</v>
      </c>
      <c r="I218" s="19">
        <v>2057946.99</v>
      </c>
      <c r="J218" s="19">
        <v>0</v>
      </c>
      <c r="K218" s="19">
        <v>0</v>
      </c>
      <c r="L218" s="19">
        <v>0</v>
      </c>
      <c r="M218" s="19">
        <v>0</v>
      </c>
      <c r="N218" s="19">
        <v>0</v>
      </c>
      <c r="O218" s="19">
        <v>21341.26</v>
      </c>
      <c r="P218" s="20">
        <v>1118000.53</v>
      </c>
      <c r="Q218" s="19">
        <v>70000</v>
      </c>
      <c r="R218" s="19">
        <v>2570.59</v>
      </c>
      <c r="S218" s="19">
        <v>40479.120000000003</v>
      </c>
      <c r="T218" s="19">
        <v>5420.8</v>
      </c>
      <c r="U218" s="19">
        <v>908729.92</v>
      </c>
      <c r="V218" s="19">
        <v>417132.02</v>
      </c>
      <c r="W218" s="19">
        <v>0</v>
      </c>
      <c r="X218" s="19">
        <v>27973.25</v>
      </c>
      <c r="Y218" s="19">
        <v>789939.01</v>
      </c>
      <c r="Z218" s="19">
        <v>894873.81</v>
      </c>
      <c r="AA218" s="19">
        <v>269070.58</v>
      </c>
      <c r="AB218" s="19">
        <v>0</v>
      </c>
      <c r="AC218" s="19">
        <v>349120.01</v>
      </c>
      <c r="AD218" s="19">
        <v>0</v>
      </c>
      <c r="AE218" s="19">
        <v>0</v>
      </c>
      <c r="AF218" s="19">
        <v>-39766.129999999997</v>
      </c>
      <c r="AG218" s="125">
        <f>SUM(F218:AF218)</f>
        <v>7791810.7399999993</v>
      </c>
      <c r="AH218" s="8">
        <v>215</v>
      </c>
    </row>
    <row r="219" spans="3:34"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95"/>
      <c r="AH219" s="8">
        <v>216</v>
      </c>
    </row>
    <row r="220" spans="3:34" ht="15" x14ac:dyDescent="0.25">
      <c r="C220" s="127"/>
      <c r="D220" s="127"/>
      <c r="E220" s="127" t="s">
        <v>574</v>
      </c>
      <c r="AH220" s="8">
        <v>217</v>
      </c>
    </row>
    <row r="221" spans="3:34" x14ac:dyDescent="0.2">
      <c r="D221" s="8">
        <v>290</v>
      </c>
      <c r="E221" s="8" t="s">
        <v>809</v>
      </c>
      <c r="F221" s="13">
        <f>'Syndicats comptes 2023'!E156</f>
        <v>0</v>
      </c>
      <c r="G221" s="13">
        <f>'Syndicats comptes 2023'!F156</f>
        <v>0</v>
      </c>
      <c r="H221" s="13">
        <f>'Syndicats comptes 2023'!G156</f>
        <v>0</v>
      </c>
      <c r="I221" s="13">
        <f>'Syndicats comptes 2023'!H156</f>
        <v>0</v>
      </c>
      <c r="J221" s="13">
        <f>'Syndicats comptes 2023'!I156</f>
        <v>0</v>
      </c>
      <c r="K221" s="13">
        <f>'Syndicats comptes 2023'!J156</f>
        <v>0</v>
      </c>
      <c r="L221" s="13">
        <f>'Syndicats comptes 2023'!K156</f>
        <v>0</v>
      </c>
      <c r="M221" s="13">
        <f>'Syndicats comptes 2023'!L156</f>
        <v>19754.099999999999</v>
      </c>
      <c r="N221" s="13">
        <f>'Syndicats comptes 2023'!M156</f>
        <v>0</v>
      </c>
      <c r="O221" s="13">
        <f>'Syndicats comptes 2023'!N156</f>
        <v>0</v>
      </c>
      <c r="P221" s="13">
        <f>'Syndicats comptes 2023'!O156</f>
        <v>0</v>
      </c>
      <c r="Q221" s="13">
        <f>'Syndicats comptes 2023'!P156</f>
        <v>0</v>
      </c>
      <c r="R221" s="13">
        <f>'Syndicats comptes 2023'!Q156</f>
        <v>0</v>
      </c>
      <c r="S221" s="13">
        <f>'Syndicats comptes 2023'!R156</f>
        <v>0</v>
      </c>
      <c r="T221" s="13">
        <f>'Syndicats comptes 2023'!S156</f>
        <v>0</v>
      </c>
      <c r="U221" s="13">
        <f>'Syndicats comptes 2023'!T156</f>
        <v>0</v>
      </c>
      <c r="V221" s="13">
        <f>'Syndicats comptes 2023'!U156</f>
        <v>0</v>
      </c>
      <c r="W221" s="13">
        <f>'Syndicats comptes 2023'!V156</f>
        <v>0</v>
      </c>
      <c r="X221" s="13">
        <f>'Syndicats comptes 2023'!W156</f>
        <v>0</v>
      </c>
      <c r="Y221" s="13">
        <f>'Syndicats comptes 2023'!X156</f>
        <v>0</v>
      </c>
      <c r="Z221" s="13">
        <f>'Syndicats comptes 2023'!Y156</f>
        <v>149249.84</v>
      </c>
      <c r="AA221" s="13">
        <f>'Syndicats comptes 2023'!Z156</f>
        <v>0</v>
      </c>
      <c r="AB221" s="13">
        <f>'Syndicats comptes 2023'!AA156</f>
        <v>0</v>
      </c>
      <c r="AC221" s="13">
        <f>'Syndicats comptes 2023'!AB156</f>
        <v>0</v>
      </c>
      <c r="AD221" s="13">
        <f>'Syndicats comptes 2023'!AC156</f>
        <v>0</v>
      </c>
      <c r="AE221" s="13">
        <f>'Syndicats comptes 2023'!AD156</f>
        <v>0</v>
      </c>
      <c r="AF221" s="13">
        <f>'Syndicats comptes 2023'!AE156</f>
        <v>18852.95</v>
      </c>
      <c r="AG221" s="13">
        <f>'Syndicats comptes 2023'!AF156</f>
        <v>187856.89</v>
      </c>
      <c r="AH221" s="8">
        <v>218</v>
      </c>
    </row>
    <row r="222" spans="3:34" x14ac:dyDescent="0.2">
      <c r="D222" s="8">
        <v>2990</v>
      </c>
      <c r="E222" s="8" t="s">
        <v>810</v>
      </c>
      <c r="F222" s="13">
        <f>F217</f>
        <v>0</v>
      </c>
      <c r="G222" s="13">
        <f t="shared" ref="G222:AG222" si="52">G217</f>
        <v>0</v>
      </c>
      <c r="H222" s="13">
        <f t="shared" si="52"/>
        <v>29380.97</v>
      </c>
      <c r="I222" s="13">
        <f t="shared" si="52"/>
        <v>131360.03</v>
      </c>
      <c r="J222" s="13">
        <f t="shared" si="52"/>
        <v>0</v>
      </c>
      <c r="K222" s="13">
        <f t="shared" si="52"/>
        <v>0</v>
      </c>
      <c r="L222" s="13">
        <f t="shared" si="52"/>
        <v>0</v>
      </c>
      <c r="M222" s="13">
        <f t="shared" si="52"/>
        <v>0</v>
      </c>
      <c r="N222" s="13">
        <f t="shared" si="52"/>
        <v>0</v>
      </c>
      <c r="O222" s="13">
        <f t="shared" si="52"/>
        <v>0</v>
      </c>
      <c r="P222" s="13">
        <f t="shared" si="52"/>
        <v>212168.06</v>
      </c>
      <c r="Q222" s="13">
        <f t="shared" si="52"/>
        <v>0</v>
      </c>
      <c r="R222" s="13">
        <f t="shared" si="52"/>
        <v>0</v>
      </c>
      <c r="S222" s="13">
        <f t="shared" si="52"/>
        <v>-84.41</v>
      </c>
      <c r="T222" s="13">
        <f t="shared" si="52"/>
        <v>-182.15</v>
      </c>
      <c r="U222" s="13">
        <f t="shared" si="52"/>
        <v>-17144.7</v>
      </c>
      <c r="V222" s="13">
        <f t="shared" si="52"/>
        <v>87200.87</v>
      </c>
      <c r="W222" s="13">
        <f t="shared" si="52"/>
        <v>0</v>
      </c>
      <c r="X222" s="13">
        <f t="shared" si="52"/>
        <v>1086.9000000000001</v>
      </c>
      <c r="Y222" s="13">
        <f t="shared" si="52"/>
        <v>-6532.15</v>
      </c>
      <c r="Z222" s="13">
        <f t="shared" si="52"/>
        <v>-16951.79</v>
      </c>
      <c r="AA222" s="13">
        <f t="shared" si="52"/>
        <v>34988.94</v>
      </c>
      <c r="AB222" s="13">
        <f t="shared" si="52"/>
        <v>0</v>
      </c>
      <c r="AC222" s="13">
        <f t="shared" si="52"/>
        <v>-46773.440000000002</v>
      </c>
      <c r="AD222" s="13">
        <f t="shared" si="52"/>
        <v>0</v>
      </c>
      <c r="AE222" s="13">
        <f t="shared" si="52"/>
        <v>240909.43</v>
      </c>
      <c r="AF222" s="13">
        <f t="shared" si="52"/>
        <v>12714.11</v>
      </c>
      <c r="AG222" s="13">
        <f t="shared" si="52"/>
        <v>662140.67000000004</v>
      </c>
      <c r="AH222" s="8">
        <v>219</v>
      </c>
    </row>
    <row r="223" spans="3:34" x14ac:dyDescent="0.2">
      <c r="AH223" s="8">
        <v>220</v>
      </c>
    </row>
    <row r="224" spans="3:34" ht="15" x14ac:dyDescent="0.25">
      <c r="E224" s="7" t="s">
        <v>811</v>
      </c>
      <c r="F224" s="84">
        <f>F221+F222</f>
        <v>0</v>
      </c>
      <c r="G224" s="84">
        <f t="shared" ref="G224:AG224" si="53">G221+G222</f>
        <v>0</v>
      </c>
      <c r="H224" s="84">
        <f t="shared" si="53"/>
        <v>29380.97</v>
      </c>
      <c r="I224" s="84">
        <f t="shared" si="53"/>
        <v>131360.03</v>
      </c>
      <c r="J224" s="84">
        <f t="shared" si="53"/>
        <v>0</v>
      </c>
      <c r="K224" s="84">
        <f t="shared" si="53"/>
        <v>0</v>
      </c>
      <c r="L224" s="84">
        <f t="shared" si="53"/>
        <v>0</v>
      </c>
      <c r="M224" s="84">
        <f t="shared" si="53"/>
        <v>19754.099999999999</v>
      </c>
      <c r="N224" s="84">
        <f t="shared" si="53"/>
        <v>0</v>
      </c>
      <c r="O224" s="84">
        <f t="shared" si="53"/>
        <v>0</v>
      </c>
      <c r="P224" s="84">
        <f t="shared" si="53"/>
        <v>212168.06</v>
      </c>
      <c r="Q224" s="84">
        <f t="shared" si="53"/>
        <v>0</v>
      </c>
      <c r="R224" s="84">
        <f t="shared" si="53"/>
        <v>0</v>
      </c>
      <c r="S224" s="84">
        <f t="shared" si="53"/>
        <v>-84.41</v>
      </c>
      <c r="T224" s="84">
        <f t="shared" si="53"/>
        <v>-182.15</v>
      </c>
      <c r="U224" s="84">
        <f t="shared" si="53"/>
        <v>-17144.7</v>
      </c>
      <c r="V224" s="84">
        <f t="shared" si="53"/>
        <v>87200.87</v>
      </c>
      <c r="W224" s="84">
        <f t="shared" si="53"/>
        <v>0</v>
      </c>
      <c r="X224" s="84">
        <f t="shared" si="53"/>
        <v>1086.9000000000001</v>
      </c>
      <c r="Y224" s="84">
        <f t="shared" si="53"/>
        <v>-6532.15</v>
      </c>
      <c r="Z224" s="84">
        <f t="shared" si="53"/>
        <v>132298.04999999999</v>
      </c>
      <c r="AA224" s="84">
        <f t="shared" si="53"/>
        <v>34988.94</v>
      </c>
      <c r="AB224" s="84">
        <f t="shared" si="53"/>
        <v>0</v>
      </c>
      <c r="AC224" s="84">
        <f t="shared" si="53"/>
        <v>-46773.440000000002</v>
      </c>
      <c r="AD224" s="84">
        <f t="shared" si="53"/>
        <v>0</v>
      </c>
      <c r="AE224" s="84">
        <f>AE221+AE222</f>
        <v>240909.43</v>
      </c>
      <c r="AF224" s="84">
        <f t="shared" si="53"/>
        <v>31567.06</v>
      </c>
      <c r="AG224" s="84">
        <f t="shared" si="53"/>
        <v>849997.56</v>
      </c>
      <c r="AH224" s="8">
        <v>221</v>
      </c>
    </row>
    <row r="225" spans="5:34" x14ac:dyDescent="0.2">
      <c r="N225" s="13"/>
      <c r="AG225" s="13"/>
      <c r="AH225" s="8">
        <v>222</v>
      </c>
    </row>
    <row r="226" spans="5:34" x14ac:dyDescent="0.2">
      <c r="E226" s="86" t="s">
        <v>575</v>
      </c>
      <c r="F226" s="24">
        <f>F5-F121</f>
        <v>0</v>
      </c>
      <c r="G226" s="24">
        <f t="shared" ref="G226:AG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H39" sqref="H39"/>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876</v>
      </c>
      <c r="B2" s="7"/>
      <c r="C2" s="7"/>
      <c r="D2" s="7"/>
      <c r="E2" s="16"/>
    </row>
    <row r="4" spans="1:6" ht="15" thickBot="1" x14ac:dyDescent="0.25">
      <c r="E4" s="8" t="s">
        <v>805</v>
      </c>
    </row>
    <row r="5" spans="1:6" ht="15.75" thickBot="1" x14ac:dyDescent="0.3">
      <c r="A5" s="8" t="s">
        <v>806</v>
      </c>
      <c r="E5" s="92" t="s">
        <v>64</v>
      </c>
    </row>
    <row r="8" spans="1:6" ht="20.25" x14ac:dyDescent="0.3">
      <c r="A8" s="114">
        <v>1</v>
      </c>
      <c r="B8" s="114"/>
      <c r="C8" s="114"/>
      <c r="D8" s="114"/>
      <c r="E8" s="114" t="s">
        <v>235</v>
      </c>
      <c r="F8" s="128">
        <f>HLOOKUP($E$5,'Syndicats Bilan'!$F$4:$AG$227,2,0)</f>
        <v>162031933.97000003</v>
      </c>
    </row>
    <row r="9" spans="1:6" ht="15" x14ac:dyDescent="0.25">
      <c r="A9" s="16"/>
      <c r="B9" s="116">
        <v>10</v>
      </c>
      <c r="C9" s="116"/>
      <c r="D9" s="116"/>
      <c r="E9" s="116" t="s">
        <v>236</v>
      </c>
      <c r="F9" s="117">
        <f>HLOOKUP($E$5,'Syndicats Bilan'!$F$4:$AG$227,3,0)</f>
        <v>46743244.770000003</v>
      </c>
    </row>
    <row r="10" spans="1:6" ht="15" x14ac:dyDescent="0.25">
      <c r="A10" s="17"/>
      <c r="B10" s="17"/>
      <c r="C10" s="85">
        <v>100</v>
      </c>
      <c r="D10" s="85"/>
      <c r="E10" s="85" t="s">
        <v>237</v>
      </c>
      <c r="F10" s="107">
        <f>HLOOKUP($E$5,'Syndicats Bilan'!$F$4:$AG$227,4,0)</f>
        <v>24709992.190000001</v>
      </c>
    </row>
    <row r="11" spans="1:6" x14ac:dyDescent="0.2">
      <c r="D11" s="8">
        <v>1000</v>
      </c>
      <c r="E11" s="8" t="s">
        <v>307</v>
      </c>
      <c r="F11" s="13">
        <f>HLOOKUP($E$5,'Syndicats Bilan'!$F$4:$AG$227,5,0)</f>
        <v>9095.9999999999982</v>
      </c>
    </row>
    <row r="12" spans="1:6" x14ac:dyDescent="0.2">
      <c r="D12" s="8">
        <v>1001</v>
      </c>
      <c r="E12" s="8" t="s">
        <v>308</v>
      </c>
      <c r="F12" s="13">
        <f>HLOOKUP($E$5,'Syndicats Bilan'!$F$4:$AG$227,6,0)</f>
        <v>1018192.46</v>
      </c>
    </row>
    <row r="13" spans="1:6" x14ac:dyDescent="0.2">
      <c r="D13" s="8">
        <v>1002</v>
      </c>
      <c r="E13" s="8" t="s">
        <v>316</v>
      </c>
      <c r="F13" s="13">
        <f>HLOOKUP($E$5,'Syndicats Bilan'!$F$4:$AG$227,7,0)</f>
        <v>23654636.330000002</v>
      </c>
    </row>
    <row r="14" spans="1:6" x14ac:dyDescent="0.2">
      <c r="D14" s="8">
        <v>1003</v>
      </c>
      <c r="E14" s="8" t="s">
        <v>309</v>
      </c>
      <c r="F14" s="13">
        <f>HLOOKUP($E$5,'Syndicats Bilan'!$F$4:$AG$227,8,0)</f>
        <v>28067.4</v>
      </c>
    </row>
    <row r="15" spans="1:6" x14ac:dyDescent="0.2">
      <c r="D15" s="8">
        <v>1004</v>
      </c>
      <c r="E15" s="8" t="s">
        <v>310</v>
      </c>
      <c r="F15" s="13">
        <f>HLOOKUP($E$5,'Syndicats Bilan'!$F$4:$AG$227,9,0)</f>
        <v>0</v>
      </c>
    </row>
    <row r="16" spans="1:6" x14ac:dyDescent="0.2">
      <c r="D16" s="8">
        <v>1009</v>
      </c>
      <c r="E16" s="8" t="s">
        <v>311</v>
      </c>
      <c r="F16" s="13">
        <f>HLOOKUP($E$5,'Syndicats Bilan'!$F$4:$AG$227,10,0)</f>
        <v>0</v>
      </c>
    </row>
    <row r="17" spans="1:6" x14ac:dyDescent="0.2">
      <c r="F17" s="13"/>
    </row>
    <row r="18" spans="1:6" ht="15" x14ac:dyDescent="0.25">
      <c r="A18" s="17"/>
      <c r="B18" s="17"/>
      <c r="C18" s="85">
        <v>101</v>
      </c>
      <c r="D18" s="85"/>
      <c r="E18" s="85" t="s">
        <v>238</v>
      </c>
      <c r="F18" s="107">
        <f>HLOOKUP($E$5,'Syndicats Bilan'!$F$4:$AG$227,12,0)</f>
        <v>4729141.4799999995</v>
      </c>
    </row>
    <row r="19" spans="1:6" x14ac:dyDescent="0.2">
      <c r="D19" s="8">
        <v>1010</v>
      </c>
      <c r="E19" s="8" t="s">
        <v>312</v>
      </c>
      <c r="F19" s="13">
        <f>HLOOKUP($E$5,'Syndicats Bilan'!$F$4:$AG$227,13,0)</f>
        <v>4342079.4399999995</v>
      </c>
    </row>
    <row r="20" spans="1:6" x14ac:dyDescent="0.2">
      <c r="D20" s="8">
        <v>1011</v>
      </c>
      <c r="E20" s="8" t="s">
        <v>393</v>
      </c>
      <c r="F20" s="13">
        <f>HLOOKUP($E$5,'Syndicats Bilan'!$F$4:$AG$227,14,0)</f>
        <v>118158.9</v>
      </c>
    </row>
    <row r="21" spans="1:6" x14ac:dyDescent="0.2">
      <c r="D21" s="8">
        <v>1012</v>
      </c>
      <c r="E21" s="8" t="s">
        <v>313</v>
      </c>
      <c r="F21" s="13">
        <f>HLOOKUP($E$5,'Syndicats Bilan'!$F$4:$AG$227,15,0)</f>
        <v>0</v>
      </c>
    </row>
    <row r="22" spans="1:6" x14ac:dyDescent="0.2">
      <c r="D22" s="8">
        <v>1013</v>
      </c>
      <c r="E22" s="8" t="s">
        <v>314</v>
      </c>
      <c r="F22" s="13">
        <f>HLOOKUP($E$5,'Syndicats Bilan'!$F$4:$AG$227,16,0)</f>
        <v>132725.07</v>
      </c>
    </row>
    <row r="23" spans="1:6" x14ac:dyDescent="0.2">
      <c r="D23" s="8">
        <v>1014</v>
      </c>
      <c r="E23" s="8" t="s">
        <v>315</v>
      </c>
      <c r="F23" s="13">
        <f>HLOOKUP($E$5,'Syndicats Bilan'!$F$4:$AG$227,17,0)</f>
        <v>22218.38</v>
      </c>
    </row>
    <row r="24" spans="1:6" x14ac:dyDescent="0.2">
      <c r="D24" s="8">
        <v>1015</v>
      </c>
      <c r="E24" s="8" t="s">
        <v>317</v>
      </c>
      <c r="F24" s="13">
        <f>HLOOKUP($E$5,'Syndicats Bilan'!$F$4:$AG$227,18,0)</f>
        <v>0</v>
      </c>
    </row>
    <row r="25" spans="1:6" x14ac:dyDescent="0.2">
      <c r="D25" s="8">
        <v>1016</v>
      </c>
      <c r="E25" s="8" t="s">
        <v>318</v>
      </c>
      <c r="F25" s="13">
        <f>HLOOKUP($E$5,'Syndicats Bilan'!$F$4:$AG$227,19,0)</f>
        <v>0</v>
      </c>
    </row>
    <row r="26" spans="1:6" x14ac:dyDescent="0.2">
      <c r="D26" s="8">
        <v>1019</v>
      </c>
      <c r="E26" s="8" t="s">
        <v>319</v>
      </c>
      <c r="F26" s="13">
        <f>HLOOKUP($E$5,'Syndicats Bilan'!$F$4:$AG$227,20,0)</f>
        <v>113959.69</v>
      </c>
    </row>
    <row r="27" spans="1:6" x14ac:dyDescent="0.2">
      <c r="F27" s="13"/>
    </row>
    <row r="28" spans="1:6" ht="15" x14ac:dyDescent="0.25">
      <c r="C28" s="85">
        <v>102</v>
      </c>
      <c r="D28" s="85"/>
      <c r="E28" s="85" t="s">
        <v>239</v>
      </c>
      <c r="F28" s="107">
        <f>HLOOKUP($E$5,'Syndicats Bilan'!$F$4:$AG$227,22,0)</f>
        <v>282000</v>
      </c>
    </row>
    <row r="29" spans="1:6" x14ac:dyDescent="0.2">
      <c r="D29" s="8">
        <v>1020</v>
      </c>
      <c r="E29" s="8" t="s">
        <v>320</v>
      </c>
      <c r="F29" s="13">
        <f>HLOOKUP($E$5,'Syndicats Bilan'!$F$4:$AG$227,23,0)</f>
        <v>282000</v>
      </c>
    </row>
    <row r="30" spans="1:6" x14ac:dyDescent="0.2">
      <c r="D30" s="8">
        <v>1022</v>
      </c>
      <c r="E30" s="8" t="s">
        <v>321</v>
      </c>
      <c r="F30" s="13">
        <f>HLOOKUP($E$5,'Syndicats Bilan'!$F$4:$AG$227,24,0)</f>
        <v>0</v>
      </c>
    </row>
    <row r="31" spans="1:6" x14ac:dyDescent="0.2">
      <c r="D31" s="8">
        <v>1023</v>
      </c>
      <c r="E31" s="8" t="s">
        <v>322</v>
      </c>
      <c r="F31" s="13">
        <f>HLOOKUP($E$5,'Syndicats Bilan'!$F$4:$AG$227,25,0)</f>
        <v>0</v>
      </c>
    </row>
    <row r="32" spans="1:6" x14ac:dyDescent="0.2">
      <c r="D32" s="8">
        <v>1029</v>
      </c>
      <c r="E32" s="8" t="s">
        <v>323</v>
      </c>
      <c r="F32" s="13">
        <f>HLOOKUP($E$5,'Syndicats Bilan'!$F$4:$AG$227,26,0)</f>
        <v>0</v>
      </c>
    </row>
    <row r="33" spans="3:6" x14ac:dyDescent="0.2">
      <c r="F33" s="13"/>
    </row>
    <row r="34" spans="3:6" ht="15" x14ac:dyDescent="0.25">
      <c r="C34" s="85">
        <v>104</v>
      </c>
      <c r="D34" s="85"/>
      <c r="E34" s="85" t="s">
        <v>240</v>
      </c>
      <c r="F34" s="107">
        <f>HLOOKUP($E$5,'Syndicats Bilan'!$F$4:$AG$227,28,0)</f>
        <v>1797057.7999999996</v>
      </c>
    </row>
    <row r="35" spans="3:6" x14ac:dyDescent="0.2">
      <c r="D35" s="8">
        <v>1040</v>
      </c>
      <c r="E35" s="8" t="s">
        <v>60</v>
      </c>
      <c r="F35" s="13">
        <f>HLOOKUP($E$5,'Syndicats Bilan'!$F$4:$AG$227,29,0)</f>
        <v>9505.9</v>
      </c>
    </row>
    <row r="36" spans="3:6" x14ac:dyDescent="0.2">
      <c r="D36" s="8">
        <v>1041</v>
      </c>
      <c r="E36" s="8" t="s">
        <v>324</v>
      </c>
      <c r="F36" s="13">
        <f>HLOOKUP($E$5,'Syndicats Bilan'!$F$4:$AG$227,30,0)</f>
        <v>684277.75</v>
      </c>
    </row>
    <row r="37" spans="3:6" x14ac:dyDescent="0.2">
      <c r="D37" s="8">
        <v>1042</v>
      </c>
      <c r="E37" s="8" t="s">
        <v>325</v>
      </c>
      <c r="F37" s="13">
        <f>HLOOKUP($E$5,'Syndicats Bilan'!$F$4:$AG$227,31,0)</f>
        <v>841.45</v>
      </c>
    </row>
    <row r="38" spans="3:6" x14ac:dyDescent="0.2">
      <c r="D38" s="8">
        <v>1043</v>
      </c>
      <c r="E38" s="8" t="s">
        <v>326</v>
      </c>
      <c r="F38" s="13">
        <f>HLOOKUP($E$5,'Syndicats Bilan'!$F$4:$AG$227,32,0)</f>
        <v>809373.58</v>
      </c>
    </row>
    <row r="39" spans="3:6" x14ac:dyDescent="0.2">
      <c r="D39" s="8">
        <v>1044</v>
      </c>
      <c r="E39" s="8" t="s">
        <v>327</v>
      </c>
      <c r="F39" s="13">
        <f>HLOOKUP($E$5,'Syndicats Bilan'!$F$4:$AG$227,33,0)</f>
        <v>156347.54999999999</v>
      </c>
    </row>
    <row r="40" spans="3:6" x14ac:dyDescent="0.2">
      <c r="D40" s="8">
        <v>1045</v>
      </c>
      <c r="E40" s="8" t="s">
        <v>328</v>
      </c>
      <c r="F40" s="13">
        <f>HLOOKUP($E$5,'Syndicats Bilan'!$F$4:$AG$227,34,0)</f>
        <v>81429.45</v>
      </c>
    </row>
    <row r="41" spans="3:6" x14ac:dyDescent="0.2">
      <c r="D41" s="8">
        <v>1046</v>
      </c>
      <c r="E41" s="8" t="s">
        <v>329</v>
      </c>
      <c r="F41" s="13">
        <f>HLOOKUP($E$5,'Syndicats Bilan'!$F$4:$AG$227,35,0)</f>
        <v>0</v>
      </c>
    </row>
    <row r="42" spans="3:6" x14ac:dyDescent="0.2">
      <c r="D42" s="8">
        <v>1049</v>
      </c>
      <c r="E42" s="8" t="s">
        <v>330</v>
      </c>
      <c r="F42" s="13">
        <f>HLOOKUP($E$5,'Syndicats Bilan'!$F$4:$AG$227,36,0)</f>
        <v>55282.12</v>
      </c>
    </row>
    <row r="43" spans="3:6" x14ac:dyDescent="0.2">
      <c r="F43" s="13"/>
    </row>
    <row r="44" spans="3:6" ht="15" x14ac:dyDescent="0.25">
      <c r="C44" s="85">
        <v>106</v>
      </c>
      <c r="D44" s="85"/>
      <c r="E44" s="85" t="s">
        <v>241</v>
      </c>
      <c r="F44" s="107">
        <f>HLOOKUP($E$5,'Syndicats Bilan'!$F$4:$AG$227,38,0)</f>
        <v>1</v>
      </c>
    </row>
    <row r="45" spans="3:6" x14ac:dyDescent="0.2">
      <c r="D45" s="8">
        <v>1060</v>
      </c>
      <c r="E45" s="8" t="s">
        <v>331</v>
      </c>
      <c r="F45" s="13">
        <f>HLOOKUP($E$5,'Syndicats Bilan'!$F$4:$AG$227,39,0)</f>
        <v>1</v>
      </c>
    </row>
    <row r="46" spans="3:6" x14ac:dyDescent="0.2">
      <c r="D46" s="8">
        <v>1061</v>
      </c>
      <c r="E46" s="8" t="s">
        <v>332</v>
      </c>
      <c r="F46" s="13">
        <f>HLOOKUP($E$5,'Syndicats Bilan'!$F$4:$AG$227,40,0)</f>
        <v>0</v>
      </c>
    </row>
    <row r="47" spans="3:6" x14ac:dyDescent="0.2">
      <c r="D47" s="8">
        <v>1062</v>
      </c>
      <c r="E47" s="8" t="s">
        <v>333</v>
      </c>
      <c r="F47" s="13">
        <f>HLOOKUP($E$5,'Syndicats Bilan'!$F$4:$AG$227,41,0)</f>
        <v>0</v>
      </c>
    </row>
    <row r="48" spans="3:6" x14ac:dyDescent="0.2">
      <c r="D48" s="8">
        <v>1063</v>
      </c>
      <c r="E48" s="8" t="s">
        <v>334</v>
      </c>
      <c r="F48" s="13">
        <f>HLOOKUP($E$5,'Syndicats Bilan'!$F$4:$AG$227,42,0)</f>
        <v>0</v>
      </c>
    </row>
    <row r="49" spans="3:6" x14ac:dyDescent="0.2">
      <c r="D49" s="8">
        <v>1068</v>
      </c>
      <c r="E49" s="8" t="s">
        <v>335</v>
      </c>
      <c r="F49" s="13">
        <f>HLOOKUP($E$5,'Syndicats Bilan'!$F$4:$AG$227,43,0)</f>
        <v>0</v>
      </c>
    </row>
    <row r="50" spans="3:6" x14ac:dyDescent="0.2">
      <c r="F50" s="13"/>
    </row>
    <row r="51" spans="3:6" ht="15" x14ac:dyDescent="0.25">
      <c r="C51" s="85">
        <v>107</v>
      </c>
      <c r="D51" s="85"/>
      <c r="E51" s="85" t="s">
        <v>340</v>
      </c>
      <c r="F51" s="107">
        <f>HLOOKUP($E$5,'Syndicats Bilan'!$F$4:$AG$227,45,0)</f>
        <v>11670370.449999999</v>
      </c>
    </row>
    <row r="52" spans="3:6" x14ac:dyDescent="0.2">
      <c r="D52" s="8">
        <v>1070</v>
      </c>
      <c r="E52" s="8" t="s">
        <v>336</v>
      </c>
      <c r="F52" s="13">
        <f>HLOOKUP($E$5,'Syndicats Bilan'!$F$4:$AG$227,46,0)</f>
        <v>21607.9</v>
      </c>
    </row>
    <row r="53" spans="3:6" x14ac:dyDescent="0.2">
      <c r="D53" s="8">
        <v>1071</v>
      </c>
      <c r="E53" s="8" t="s">
        <v>337</v>
      </c>
      <c r="F53" s="13">
        <f>HLOOKUP($E$5,'Syndicats Bilan'!$F$4:$AG$227,47,0)</f>
        <v>11636602.550000001</v>
      </c>
    </row>
    <row r="54" spans="3:6" x14ac:dyDescent="0.2">
      <c r="D54" s="8">
        <v>1072</v>
      </c>
      <c r="E54" s="8" t="s">
        <v>338</v>
      </c>
      <c r="F54" s="13">
        <f>HLOOKUP($E$5,'Syndicats Bilan'!$F$4:$AG$227,48,0)</f>
        <v>12160</v>
      </c>
    </row>
    <row r="55" spans="3:6" x14ac:dyDescent="0.2">
      <c r="D55" s="8">
        <v>1079</v>
      </c>
      <c r="E55" s="8" t="s">
        <v>339</v>
      </c>
      <c r="F55" s="13">
        <f>HLOOKUP($E$5,'Syndicats Bilan'!$F$4:$AG$227,49,0)</f>
        <v>0</v>
      </c>
    </row>
    <row r="56" spans="3:6" x14ac:dyDescent="0.2">
      <c r="F56" s="13"/>
    </row>
    <row r="57" spans="3:6" ht="15" x14ac:dyDescent="0.25">
      <c r="C57" s="85">
        <v>108</v>
      </c>
      <c r="D57" s="85"/>
      <c r="E57" s="85" t="s">
        <v>242</v>
      </c>
      <c r="F57" s="107">
        <f>HLOOKUP($E$5,'Syndicats Bilan'!$F$4:$AG$227,51,0)</f>
        <v>3554681.85</v>
      </c>
    </row>
    <row r="58" spans="3:6" x14ac:dyDescent="0.2">
      <c r="D58" s="8">
        <v>1080</v>
      </c>
      <c r="E58" s="8" t="s">
        <v>341</v>
      </c>
      <c r="F58" s="13">
        <f>HLOOKUP($E$5,'Syndicats Bilan'!$F$4:$AG$227,52,0)</f>
        <v>620518.75</v>
      </c>
    </row>
    <row r="59" spans="3:6" x14ac:dyDescent="0.2">
      <c r="D59" s="8">
        <v>1084</v>
      </c>
      <c r="E59" s="8" t="s">
        <v>342</v>
      </c>
      <c r="F59" s="13">
        <f>HLOOKUP($E$5,'Syndicats Bilan'!$F$4:$AG$227,53,0)</f>
        <v>2334265.25</v>
      </c>
    </row>
    <row r="60" spans="3:6" x14ac:dyDescent="0.2">
      <c r="D60" s="8">
        <v>1086</v>
      </c>
      <c r="E60" s="8" t="s">
        <v>343</v>
      </c>
      <c r="F60" s="13">
        <f>HLOOKUP($E$5,'Syndicats Bilan'!$F$4:$AG$227,54,0)</f>
        <v>0</v>
      </c>
    </row>
    <row r="61" spans="3:6" x14ac:dyDescent="0.2">
      <c r="D61" s="8">
        <v>1087</v>
      </c>
      <c r="E61" s="8" t="s">
        <v>344</v>
      </c>
      <c r="F61" s="13">
        <f>HLOOKUP($E$5,'Syndicats Bilan'!$F$4:$AG$227,55,0)</f>
        <v>599897.85</v>
      </c>
    </row>
    <row r="62" spans="3:6" x14ac:dyDescent="0.2">
      <c r="D62" s="8">
        <v>1088</v>
      </c>
      <c r="E62" s="8" t="s">
        <v>345</v>
      </c>
      <c r="F62" s="13">
        <f>HLOOKUP($E$5,'Syndicats Bilan'!$F$4:$AG$227,6,0)</f>
        <v>1018192.46</v>
      </c>
    </row>
    <row r="63" spans="3:6" x14ac:dyDescent="0.2">
      <c r="D63" s="8">
        <v>1089</v>
      </c>
      <c r="E63" s="8" t="s">
        <v>346</v>
      </c>
      <c r="F63" s="13">
        <f>HLOOKUP($E$5,'Syndicats Bilan'!$F$4:$AG$227,57,0)</f>
        <v>0</v>
      </c>
    </row>
    <row r="64" spans="3:6" x14ac:dyDescent="0.2">
      <c r="F64" s="13"/>
    </row>
    <row r="65" spans="2:6" ht="15" x14ac:dyDescent="0.25">
      <c r="C65" s="85">
        <v>109</v>
      </c>
      <c r="D65" s="85"/>
      <c r="E65" s="85" t="s">
        <v>347</v>
      </c>
      <c r="F65" s="107">
        <f>HLOOKUP($E$5,'Syndicats Bilan'!$F$4:$AG$227,59,0)</f>
        <v>0</v>
      </c>
    </row>
    <row r="66" spans="2:6" x14ac:dyDescent="0.2">
      <c r="D66" s="8">
        <v>1090</v>
      </c>
      <c r="E66" s="8" t="s">
        <v>347</v>
      </c>
      <c r="F66" s="13">
        <f>HLOOKUP($E$5,'Syndicats Bilan'!$F$4:$AG$227,60,0)</f>
        <v>0</v>
      </c>
    </row>
    <row r="67" spans="2:6" x14ac:dyDescent="0.2">
      <c r="D67" s="8">
        <v>1091</v>
      </c>
      <c r="E67" s="8" t="s">
        <v>348</v>
      </c>
      <c r="F67" s="13">
        <f>HLOOKUP($E$5,'Syndicats Bilan'!$F$4:$AG$227,61,0)</f>
        <v>0</v>
      </c>
    </row>
    <row r="68" spans="2:6" x14ac:dyDescent="0.2">
      <c r="D68" s="8">
        <v>1092</v>
      </c>
      <c r="E68" s="8" t="s">
        <v>349</v>
      </c>
      <c r="F68" s="13">
        <f>HLOOKUP($E$5,'Syndicats Bilan'!$F$4:$AG$227,62,0)</f>
        <v>0</v>
      </c>
    </row>
    <row r="69" spans="2:6" x14ac:dyDescent="0.2">
      <c r="D69" s="8">
        <v>1093</v>
      </c>
      <c r="E69" s="8" t="s">
        <v>350</v>
      </c>
      <c r="F69" s="13">
        <f>HLOOKUP($E$5,'Syndicats Bilan'!$F$4:$AG$227,63,0)</f>
        <v>0</v>
      </c>
    </row>
    <row r="70" spans="2:6" x14ac:dyDescent="0.2">
      <c r="F70" s="13"/>
    </row>
    <row r="71" spans="2:6" ht="15" x14ac:dyDescent="0.25">
      <c r="B71" s="118">
        <v>14</v>
      </c>
      <c r="C71" s="118"/>
      <c r="D71" s="118"/>
      <c r="E71" s="118" t="s">
        <v>243</v>
      </c>
      <c r="F71" s="119">
        <f>HLOOKUP($E$5,'Syndicats Bilan'!$F$4:$AG$227,65,0)</f>
        <v>115288689.2</v>
      </c>
    </row>
    <row r="72" spans="2:6" ht="15" x14ac:dyDescent="0.25">
      <c r="C72" s="85">
        <v>140</v>
      </c>
      <c r="D72" s="85"/>
      <c r="E72" s="85" t="s">
        <v>245</v>
      </c>
      <c r="F72" s="107">
        <f>HLOOKUP($E$5,'Syndicats Bilan'!$F$4:$AG$227,66,0)</f>
        <v>114033596.77000001</v>
      </c>
    </row>
    <row r="73" spans="2:6" x14ac:dyDescent="0.2">
      <c r="D73" s="8">
        <v>1400</v>
      </c>
      <c r="E73" s="8" t="s">
        <v>351</v>
      </c>
      <c r="F73" s="13">
        <f>HLOOKUP($E$5,'Syndicats Bilan'!$F$4:$AG$227,67,0)</f>
        <v>186632</v>
      </c>
    </row>
    <row r="74" spans="2:6" x14ac:dyDescent="0.2">
      <c r="D74" s="8">
        <v>1401</v>
      </c>
      <c r="E74" s="8" t="s">
        <v>352</v>
      </c>
      <c r="F74" s="13">
        <f>HLOOKUP($E$5,'Syndicats Bilan'!$F$4:$AG$227,68,0)</f>
        <v>333985.55</v>
      </c>
    </row>
    <row r="75" spans="2:6" x14ac:dyDescent="0.2">
      <c r="D75" s="8">
        <v>1402</v>
      </c>
      <c r="E75" s="8" t="s">
        <v>353</v>
      </c>
      <c r="F75" s="13">
        <f>HLOOKUP($E$5,'Syndicats Bilan'!$F$4:$AG$227,69,0)</f>
        <v>61015.87</v>
      </c>
    </row>
    <row r="76" spans="2:6" x14ac:dyDescent="0.2">
      <c r="D76" s="8">
        <v>1403</v>
      </c>
      <c r="E76" s="8" t="s">
        <v>354</v>
      </c>
      <c r="F76" s="13">
        <f>HLOOKUP($E$5,'Syndicats Bilan'!$F$4:$AG$227,70,0)</f>
        <v>67303965.840000004</v>
      </c>
    </row>
    <row r="77" spans="2:6" x14ac:dyDescent="0.2">
      <c r="D77" s="8">
        <v>1404</v>
      </c>
      <c r="E77" s="8" t="s">
        <v>355</v>
      </c>
      <c r="F77" s="13">
        <f>HLOOKUP($E$5,'Syndicats Bilan'!$F$4:$AG$227,71,0)</f>
        <v>38502705.869999997</v>
      </c>
    </row>
    <row r="78" spans="2:6" x14ac:dyDescent="0.2">
      <c r="D78" s="8">
        <v>1405</v>
      </c>
      <c r="E78" s="8" t="s">
        <v>356</v>
      </c>
      <c r="F78" s="13">
        <f>HLOOKUP($E$5,'Syndicats Bilan'!$F$4:$AG$227,72,0)</f>
        <v>0</v>
      </c>
    </row>
    <row r="79" spans="2:6" x14ac:dyDescent="0.2">
      <c r="D79" s="8">
        <v>1406</v>
      </c>
      <c r="E79" s="8" t="s">
        <v>357</v>
      </c>
      <c r="F79" s="13">
        <f>HLOOKUP($E$5,'Syndicats Bilan'!$F$4:$AG$227,73,0)</f>
        <v>1549659.8</v>
      </c>
    </row>
    <row r="80" spans="2:6" x14ac:dyDescent="0.2">
      <c r="D80" s="8">
        <v>1407</v>
      </c>
      <c r="E80" s="8" t="s">
        <v>358</v>
      </c>
      <c r="F80" s="13">
        <f>HLOOKUP($E$5,'Syndicats Bilan'!$F$4:$AG$227,74,0)</f>
        <v>6095631.8399999999</v>
      </c>
    </row>
    <row r="81" spans="3:6" x14ac:dyDescent="0.2">
      <c r="D81" s="8">
        <v>1409</v>
      </c>
      <c r="E81" s="8" t="s">
        <v>359</v>
      </c>
      <c r="F81" s="13">
        <f>HLOOKUP($E$5,'Syndicats Bilan'!$F$4:$AG$227,75,0)</f>
        <v>0</v>
      </c>
    </row>
    <row r="82" spans="3:6" x14ac:dyDescent="0.2">
      <c r="F82" s="13"/>
    </row>
    <row r="83" spans="3:6" ht="15" x14ac:dyDescent="0.25">
      <c r="C83" s="85">
        <v>142</v>
      </c>
      <c r="D83" s="85"/>
      <c r="E83" s="85" t="s">
        <v>571</v>
      </c>
      <c r="F83" s="107">
        <f>HLOOKUP($E$5,'Syndicats Bilan'!$F$4:$AG$227,77,0)</f>
        <v>1255090.43</v>
      </c>
    </row>
    <row r="84" spans="3:6" x14ac:dyDescent="0.2">
      <c r="D84" s="17">
        <v>1420</v>
      </c>
      <c r="E84" s="17" t="s">
        <v>360</v>
      </c>
      <c r="F84" s="13">
        <f>HLOOKUP($E$5,'Syndicats Bilan'!$F$4:$AG$227,78,0)</f>
        <v>71841.75</v>
      </c>
    </row>
    <row r="85" spans="3:6" x14ac:dyDescent="0.2">
      <c r="D85" s="17">
        <v>1421</v>
      </c>
      <c r="E85" s="17" t="s">
        <v>361</v>
      </c>
      <c r="F85" s="13">
        <f>HLOOKUP($E$5,'Syndicats Bilan'!$F$4:$AG$227,79,0)</f>
        <v>0</v>
      </c>
    </row>
    <row r="86" spans="3:6" x14ac:dyDescent="0.2">
      <c r="D86" s="17">
        <v>1427</v>
      </c>
      <c r="E86" s="17" t="s">
        <v>570</v>
      </c>
      <c r="F86" s="13">
        <f>HLOOKUP($E$5,'Syndicats Bilan'!$F$4:$AG$227,80,0)</f>
        <v>364318.3</v>
      </c>
    </row>
    <row r="87" spans="3:6" x14ac:dyDescent="0.2">
      <c r="D87" s="17">
        <v>1429</v>
      </c>
      <c r="E87" s="17" t="s">
        <v>459</v>
      </c>
      <c r="F87" s="13">
        <f>HLOOKUP($E$5,'Syndicats Bilan'!$F$4:$AG$227,81,0)</f>
        <v>818930.38</v>
      </c>
    </row>
    <row r="88" spans="3:6" x14ac:dyDescent="0.2">
      <c r="F88" s="13"/>
    </row>
    <row r="89" spans="3:6" ht="15" x14ac:dyDescent="0.25">
      <c r="C89" s="85">
        <v>144</v>
      </c>
      <c r="D89" s="85"/>
      <c r="E89" s="85" t="s">
        <v>246</v>
      </c>
      <c r="F89" s="107">
        <f>HLOOKUP($E$5,'Syndicats Bilan'!$F$4:$AG$227,83,0)</f>
        <v>0</v>
      </c>
    </row>
    <row r="90" spans="3:6" x14ac:dyDescent="0.2">
      <c r="D90" s="8">
        <v>1440</v>
      </c>
      <c r="E90" s="8" t="s">
        <v>362</v>
      </c>
      <c r="F90" s="13">
        <f>HLOOKUP($E$5,'Syndicats Bilan'!$F$4:$AG$227,84,0)</f>
        <v>0</v>
      </c>
    </row>
    <row r="91" spans="3:6" x14ac:dyDescent="0.2">
      <c r="D91" s="8">
        <v>1441</v>
      </c>
      <c r="E91" s="8" t="s">
        <v>364</v>
      </c>
      <c r="F91" s="13">
        <f>HLOOKUP($E$5,'Syndicats Bilan'!$F$4:$AG$227,85,0)</f>
        <v>0</v>
      </c>
    </row>
    <row r="92" spans="3:6" x14ac:dyDescent="0.2">
      <c r="D92" s="8">
        <v>1442</v>
      </c>
      <c r="E92" s="8" t="s">
        <v>363</v>
      </c>
      <c r="F92" s="13">
        <f>HLOOKUP($E$5,'Syndicats Bilan'!$F$4:$AG$227,86,0)</f>
        <v>0</v>
      </c>
    </row>
    <row r="93" spans="3:6" x14ac:dyDescent="0.2">
      <c r="D93" s="8">
        <v>1443</v>
      </c>
      <c r="E93" s="8" t="s">
        <v>365</v>
      </c>
      <c r="F93" s="13">
        <f>HLOOKUP($E$5,'Syndicats Bilan'!$F$4:$AG$227,87,0)</f>
        <v>0</v>
      </c>
    </row>
    <row r="94" spans="3:6" x14ac:dyDescent="0.2">
      <c r="D94" s="8">
        <v>1444</v>
      </c>
      <c r="E94" s="8" t="s">
        <v>366</v>
      </c>
      <c r="F94" s="13">
        <f>HLOOKUP($E$5,'Syndicats Bilan'!$F$4:$AG$227,88,0)</f>
        <v>0</v>
      </c>
    </row>
    <row r="95" spans="3:6" x14ac:dyDescent="0.2">
      <c r="D95" s="8">
        <v>1445</v>
      </c>
      <c r="E95" s="8" t="s">
        <v>367</v>
      </c>
      <c r="F95" s="13">
        <f>HLOOKUP($E$5,'Syndicats Bilan'!$F$4:$AG$227,89,0)</f>
        <v>0</v>
      </c>
    </row>
    <row r="96" spans="3:6" x14ac:dyDescent="0.2">
      <c r="D96" s="8">
        <v>1446</v>
      </c>
      <c r="E96" s="8" t="s">
        <v>368</v>
      </c>
      <c r="F96" s="13">
        <f>HLOOKUP($E$5,'Syndicats Bilan'!$F$4:$AG$227,90,0)</f>
        <v>0</v>
      </c>
    </row>
    <row r="97" spans="3:6" x14ac:dyDescent="0.2">
      <c r="D97" s="8">
        <v>1447</v>
      </c>
      <c r="E97" s="8" t="s">
        <v>369</v>
      </c>
      <c r="F97" s="13">
        <f>HLOOKUP($E$5,'Syndicats Bilan'!$F$4:$AG$227,91,0)</f>
        <v>0</v>
      </c>
    </row>
    <row r="98" spans="3:6" x14ac:dyDescent="0.2">
      <c r="D98" s="8">
        <v>1448</v>
      </c>
      <c r="E98" s="8" t="s">
        <v>370</v>
      </c>
      <c r="F98" s="13">
        <f>HLOOKUP($E$5,'Syndicats Bilan'!$F$4:$AG$227,92,0)</f>
        <v>0</v>
      </c>
    </row>
    <row r="99" spans="3:6" x14ac:dyDescent="0.2">
      <c r="F99" s="13"/>
    </row>
    <row r="100" spans="3:6" ht="15" x14ac:dyDescent="0.25">
      <c r="C100" s="85">
        <v>145</v>
      </c>
      <c r="D100" s="85"/>
      <c r="E100" s="85" t="s">
        <v>373</v>
      </c>
      <c r="F100" s="107">
        <f>HLOOKUP($E$5,'Syndicats Bilan'!$F$4:$AG$227,94,0)</f>
        <v>2</v>
      </c>
    </row>
    <row r="101" spans="3:6" x14ac:dyDescent="0.2">
      <c r="D101" s="8">
        <v>1450</v>
      </c>
      <c r="E101" s="8" t="s">
        <v>372</v>
      </c>
      <c r="F101" s="13">
        <f>HLOOKUP($E$5,'Syndicats Bilan'!$F$4:$AG$227,95,0)</f>
        <v>0</v>
      </c>
    </row>
    <row r="102" spans="3:6" x14ac:dyDescent="0.2">
      <c r="D102" s="8">
        <v>1451</v>
      </c>
      <c r="E102" s="8" t="s">
        <v>371</v>
      </c>
      <c r="F102" s="13">
        <f>HLOOKUP($E$5,'Syndicats Bilan'!$F$4:$AG$227,96,0)</f>
        <v>0</v>
      </c>
    </row>
    <row r="103" spans="3:6" x14ac:dyDescent="0.2">
      <c r="D103" s="8">
        <v>1452</v>
      </c>
      <c r="E103" s="8" t="s">
        <v>374</v>
      </c>
      <c r="F103" s="13">
        <f>HLOOKUP($E$5,'Syndicats Bilan'!$F$4:$AG$227,97,0)</f>
        <v>0</v>
      </c>
    </row>
    <row r="104" spans="3:6" x14ac:dyDescent="0.2">
      <c r="D104" s="8">
        <v>1453</v>
      </c>
      <c r="E104" s="8" t="s">
        <v>375</v>
      </c>
      <c r="F104" s="13">
        <f>HLOOKUP($E$5,'Syndicats Bilan'!$F$4:$AG$227,98,0)</f>
        <v>0</v>
      </c>
    </row>
    <row r="105" spans="3:6" x14ac:dyDescent="0.2">
      <c r="D105" s="8">
        <v>1454</v>
      </c>
      <c r="E105" s="8" t="s">
        <v>376</v>
      </c>
      <c r="F105" s="13">
        <f>HLOOKUP($E$5,'Syndicats Bilan'!$F$4:$AG$227,99,0)</f>
        <v>0</v>
      </c>
    </row>
    <row r="106" spans="3:6" x14ac:dyDescent="0.2">
      <c r="D106" s="8">
        <v>1455</v>
      </c>
      <c r="E106" s="8" t="s">
        <v>377</v>
      </c>
      <c r="F106" s="13">
        <f>HLOOKUP($E$5,'Syndicats Bilan'!$F$4:$AG$227,100,0)</f>
        <v>2</v>
      </c>
    </row>
    <row r="107" spans="3:6" x14ac:dyDescent="0.2">
      <c r="D107" s="8">
        <v>1456</v>
      </c>
      <c r="E107" s="8" t="s">
        <v>378</v>
      </c>
      <c r="F107" s="13">
        <f>HLOOKUP($E$5,'Syndicats Bilan'!$F$4:$AG$227,101,0)</f>
        <v>0</v>
      </c>
    </row>
    <row r="108" spans="3:6" x14ac:dyDescent="0.2">
      <c r="D108" s="8">
        <v>1457</v>
      </c>
      <c r="E108" s="8" t="s">
        <v>379</v>
      </c>
      <c r="F108" s="13">
        <f>HLOOKUP($E$5,'Syndicats Bilan'!$F$4:$AG$227,102,0)</f>
        <v>0</v>
      </c>
    </row>
    <row r="109" spans="3:6" x14ac:dyDescent="0.2">
      <c r="D109" s="8">
        <v>1458</v>
      </c>
      <c r="E109" s="8" t="s">
        <v>380</v>
      </c>
      <c r="F109" s="13">
        <f>HLOOKUP($E$5,'Syndicats Bilan'!$F$4:$AG$227,103,0)</f>
        <v>0</v>
      </c>
    </row>
    <row r="110" spans="3:6" x14ac:dyDescent="0.2">
      <c r="F110" s="13"/>
    </row>
    <row r="111" spans="3:6" ht="15" x14ac:dyDescent="0.25">
      <c r="C111" s="85">
        <v>146</v>
      </c>
      <c r="D111" s="85"/>
      <c r="E111" s="85" t="s">
        <v>391</v>
      </c>
      <c r="F111" s="107">
        <f>HLOOKUP($E$5,'Syndicats Bilan'!$F$4:$AG$227,105,0)</f>
        <v>0</v>
      </c>
    </row>
    <row r="112" spans="3:6" x14ac:dyDescent="0.2">
      <c r="D112" s="8">
        <v>1460</v>
      </c>
      <c r="E112" s="8" t="s">
        <v>388</v>
      </c>
      <c r="F112" s="13">
        <f>HLOOKUP($E$5,'Syndicats Bilan'!$F$4:$AG$227,106,0)</f>
        <v>0</v>
      </c>
    </row>
    <row r="113" spans="1:6" x14ac:dyDescent="0.2">
      <c r="D113" s="8">
        <v>1461</v>
      </c>
      <c r="E113" s="8" t="s">
        <v>389</v>
      </c>
      <c r="F113" s="13">
        <f>HLOOKUP($E$5,'Syndicats Bilan'!$F$4:$AG$227,107,0)</f>
        <v>0</v>
      </c>
    </row>
    <row r="114" spans="1:6" x14ac:dyDescent="0.2">
      <c r="D114" s="8">
        <v>1462</v>
      </c>
      <c r="E114" s="8" t="s">
        <v>381</v>
      </c>
      <c r="F114" s="13">
        <f>HLOOKUP($E$5,'Syndicats Bilan'!$F$4:$AG$227,108,0)</f>
        <v>0</v>
      </c>
    </row>
    <row r="115" spans="1:6" x14ac:dyDescent="0.2">
      <c r="D115" s="8">
        <v>1463</v>
      </c>
      <c r="E115" s="8" t="s">
        <v>382</v>
      </c>
      <c r="F115" s="13">
        <f>HLOOKUP($E$5,'Syndicats Bilan'!$F$4:$AG$227,109,0)</f>
        <v>0</v>
      </c>
    </row>
    <row r="116" spans="1:6" x14ac:dyDescent="0.2">
      <c r="D116" s="8">
        <v>1464</v>
      </c>
      <c r="E116" s="8" t="s">
        <v>383</v>
      </c>
      <c r="F116" s="13">
        <f>HLOOKUP($E$5,'Syndicats Bilan'!$F$4:$AG$227,110,0)</f>
        <v>0</v>
      </c>
    </row>
    <row r="117" spans="1:6" x14ac:dyDescent="0.2">
      <c r="D117" s="8">
        <v>1465</v>
      </c>
      <c r="E117" s="8" t="s">
        <v>384</v>
      </c>
      <c r="F117" s="13">
        <f>HLOOKUP($E$5,'Syndicats Bilan'!$F$4:$AG$227,111,0)</f>
        <v>0</v>
      </c>
    </row>
    <row r="118" spans="1:6" x14ac:dyDescent="0.2">
      <c r="D118" s="8">
        <v>1466</v>
      </c>
      <c r="E118" s="8" t="s">
        <v>390</v>
      </c>
      <c r="F118" s="13">
        <f>HLOOKUP($E$5,'Syndicats Bilan'!$F$4:$AG$227,112,0)</f>
        <v>0</v>
      </c>
    </row>
    <row r="119" spans="1:6" x14ac:dyDescent="0.2">
      <c r="D119" s="8">
        <v>1467</v>
      </c>
      <c r="E119" s="8" t="s">
        <v>385</v>
      </c>
      <c r="F119" s="13">
        <f>HLOOKUP($E$5,'Syndicats Bilan'!$F$4:$AG$227,113,0)</f>
        <v>0</v>
      </c>
    </row>
    <row r="120" spans="1:6" x14ac:dyDescent="0.2">
      <c r="D120" s="8">
        <v>1468</v>
      </c>
      <c r="E120" s="8" t="s">
        <v>386</v>
      </c>
      <c r="F120" s="13">
        <f>HLOOKUP($E$5,'Syndicats Bilan'!$F$4:$AG$227,114,0)</f>
        <v>0</v>
      </c>
    </row>
    <row r="121" spans="1:6" x14ac:dyDescent="0.2">
      <c r="D121" s="8">
        <v>1469</v>
      </c>
      <c r="E121" s="8" t="s">
        <v>387</v>
      </c>
      <c r="F121" s="13">
        <f>HLOOKUP($E$5,'Syndicats Bilan'!$F$4:$AG$227,115,0)</f>
        <v>0</v>
      </c>
    </row>
    <row r="122" spans="1:6" x14ac:dyDescent="0.2">
      <c r="F122" s="13"/>
    </row>
    <row r="123" spans="1:6" x14ac:dyDescent="0.2">
      <c r="F123" s="13"/>
    </row>
    <row r="124" spans="1:6" ht="20.25" x14ac:dyDescent="0.3">
      <c r="A124" s="21">
        <v>2</v>
      </c>
      <c r="B124" s="21"/>
      <c r="C124" s="21"/>
      <c r="D124" s="21"/>
      <c r="E124" s="21" t="s">
        <v>247</v>
      </c>
      <c r="F124" s="130">
        <f>HLOOKUP($E$5,'Syndicats Bilan'!$F$4:$AG$227,118,0)</f>
        <v>162031933.97000003</v>
      </c>
    </row>
    <row r="125" spans="1:6" ht="15" x14ac:dyDescent="0.25">
      <c r="A125" s="7"/>
      <c r="B125" s="121">
        <v>20</v>
      </c>
      <c r="C125" s="121"/>
      <c r="D125" s="121"/>
      <c r="E125" s="121" t="s">
        <v>248</v>
      </c>
      <c r="F125" s="122">
        <f>HLOOKUP($E$5,'Syndicats Bilan'!$F$4:$AG$227,119,0)</f>
        <v>56504057.539999999</v>
      </c>
    </row>
    <row r="126" spans="1:6" ht="15" x14ac:dyDescent="0.25">
      <c r="C126" s="123">
        <v>200</v>
      </c>
      <c r="D126" s="123"/>
      <c r="E126" s="123" t="s">
        <v>249</v>
      </c>
      <c r="F126" s="124">
        <f>HLOOKUP($E$5,'Syndicats Bilan'!$F$4:$AG$227,120,0)</f>
        <v>5793159.29</v>
      </c>
    </row>
    <row r="127" spans="1:6" x14ac:dyDescent="0.2">
      <c r="D127" s="8">
        <v>2000</v>
      </c>
      <c r="E127" s="8" t="s">
        <v>392</v>
      </c>
      <c r="F127" s="13">
        <f>HLOOKUP($E$5,'Syndicats Bilan'!$F$4:$AG$227,121,0)</f>
        <v>3668128.9199999995</v>
      </c>
    </row>
    <row r="128" spans="1:6" x14ac:dyDescent="0.2">
      <c r="D128" s="8">
        <v>2001</v>
      </c>
      <c r="E128" s="8" t="s">
        <v>393</v>
      </c>
      <c r="F128" s="13">
        <f>HLOOKUP($E$5,'Syndicats Bilan'!$F$4:$AG$227,122,0)</f>
        <v>-2882.3999999999996</v>
      </c>
    </row>
    <row r="129" spans="3:6" x14ac:dyDescent="0.2">
      <c r="D129" s="8">
        <v>2002</v>
      </c>
      <c r="E129" s="8" t="s">
        <v>394</v>
      </c>
      <c r="F129" s="13">
        <f>HLOOKUP($E$5,'Syndicats Bilan'!$F$4:$AG$227,123,0)</f>
        <v>25864.36</v>
      </c>
    </row>
    <row r="130" spans="3:6" x14ac:dyDescent="0.2">
      <c r="D130" s="8">
        <v>2003</v>
      </c>
      <c r="E130" s="8" t="s">
        <v>395</v>
      </c>
      <c r="F130" s="13">
        <f>HLOOKUP($E$5,'Syndicats Bilan'!$F$4:$AG$227,124,0)</f>
        <v>0</v>
      </c>
    </row>
    <row r="131" spans="3:6" x14ac:dyDescent="0.2">
      <c r="D131" s="8">
        <v>2004</v>
      </c>
      <c r="E131" s="8" t="s">
        <v>396</v>
      </c>
      <c r="F131" s="13">
        <f>HLOOKUP($E$5,'Syndicats Bilan'!$F$4:$AG$227,125,0)</f>
        <v>1684937.6</v>
      </c>
    </row>
    <row r="132" spans="3:6" x14ac:dyDescent="0.2">
      <c r="D132" s="8">
        <v>2005</v>
      </c>
      <c r="E132" s="8" t="s">
        <v>317</v>
      </c>
      <c r="F132" s="13">
        <f>HLOOKUP($E$5,'Syndicats Bilan'!$F$4:$AG$227,126,0)</f>
        <v>307640.15999999997</v>
      </c>
    </row>
    <row r="133" spans="3:6" x14ac:dyDescent="0.2">
      <c r="D133" s="8">
        <v>2006</v>
      </c>
      <c r="E133" s="8" t="s">
        <v>441</v>
      </c>
      <c r="F133" s="13">
        <f>HLOOKUP($E$5,'Syndicats Bilan'!$F$4:$AG$227,127,0)</f>
        <v>109470.65</v>
      </c>
    </row>
    <row r="134" spans="3:6" x14ac:dyDescent="0.2">
      <c r="D134" s="8">
        <v>2009</v>
      </c>
      <c r="E134" s="8" t="s">
        <v>398</v>
      </c>
      <c r="F134" s="13">
        <f>HLOOKUP($E$5,'Syndicats Bilan'!$F$4:$AG$227,128,0)</f>
        <v>0</v>
      </c>
    </row>
    <row r="135" spans="3:6" x14ac:dyDescent="0.2">
      <c r="F135" s="13"/>
    </row>
    <row r="136" spans="3:6" ht="15" x14ac:dyDescent="0.25">
      <c r="C136" s="123">
        <v>201</v>
      </c>
      <c r="D136" s="123"/>
      <c r="E136" s="123" t="s">
        <v>250</v>
      </c>
      <c r="F136" s="124">
        <f>HLOOKUP($E$5,'Syndicats Bilan'!$F$4:$AG$227,130,0)</f>
        <v>6013081.1900000004</v>
      </c>
    </row>
    <row r="137" spans="3:6" x14ac:dyDescent="0.2">
      <c r="D137" s="8">
        <v>2010</v>
      </c>
      <c r="E137" s="8" t="s">
        <v>399</v>
      </c>
      <c r="F137" s="13">
        <f>HLOOKUP($E$5,'Syndicats Bilan'!$F$4:$AG$227,131,0)</f>
        <v>4269039.5200000005</v>
      </c>
    </row>
    <row r="138" spans="3:6" x14ac:dyDescent="0.2">
      <c r="D138" s="8">
        <v>2011</v>
      </c>
      <c r="E138" s="8" t="s">
        <v>400</v>
      </c>
      <c r="F138" s="13">
        <f>HLOOKUP($E$5,'Syndicats Bilan'!$F$4:$AG$227,132,0)</f>
        <v>614841.67000000004</v>
      </c>
    </row>
    <row r="139" spans="3:6" x14ac:dyDescent="0.2">
      <c r="D139" s="8">
        <v>2012</v>
      </c>
      <c r="E139" s="8" t="s">
        <v>401</v>
      </c>
      <c r="F139" s="13">
        <f>HLOOKUP($E$5,'Syndicats Bilan'!$F$4:$AG$227,133,0)</f>
        <v>0</v>
      </c>
    </row>
    <row r="140" spans="3:6" x14ac:dyDescent="0.2">
      <c r="D140" s="8">
        <v>2013</v>
      </c>
      <c r="E140" s="8" t="s">
        <v>402</v>
      </c>
      <c r="F140" s="13">
        <f>HLOOKUP($E$5,'Syndicats Bilan'!$F$4:$AG$227,134,0)</f>
        <v>21300</v>
      </c>
    </row>
    <row r="141" spans="3:6" x14ac:dyDescent="0.2">
      <c r="D141" s="8">
        <v>2014</v>
      </c>
      <c r="E141" s="8" t="s">
        <v>404</v>
      </c>
      <c r="F141" s="13">
        <f>HLOOKUP($E$5,'Syndicats Bilan'!$F$4:$AG$227,135,0)</f>
        <v>1107900</v>
      </c>
    </row>
    <row r="142" spans="3:6" x14ac:dyDescent="0.2">
      <c r="D142" s="8">
        <v>2015</v>
      </c>
      <c r="E142" s="8" t="s">
        <v>403</v>
      </c>
      <c r="F142" s="13">
        <f>HLOOKUP($E$5,'Syndicats Bilan'!$F$4:$AG$227,136,0)</f>
        <v>0</v>
      </c>
    </row>
    <row r="143" spans="3:6" x14ac:dyDescent="0.2">
      <c r="D143" s="8">
        <v>2016</v>
      </c>
      <c r="E143" s="8" t="s">
        <v>265</v>
      </c>
      <c r="F143" s="13">
        <f>HLOOKUP($E$5,'Syndicats Bilan'!$F$4:$AG$227,137,0)</f>
        <v>0</v>
      </c>
    </row>
    <row r="144" spans="3:6" x14ac:dyDescent="0.2">
      <c r="D144" s="8">
        <v>2019</v>
      </c>
      <c r="E144" s="8" t="s">
        <v>405</v>
      </c>
      <c r="F144" s="13">
        <f>HLOOKUP($E$5,'Syndicats Bilan'!$F$4:$AG$227,138,0)</f>
        <v>0</v>
      </c>
    </row>
    <row r="145" spans="3:6" x14ac:dyDescent="0.2">
      <c r="F145" s="13"/>
    </row>
    <row r="146" spans="3:6" ht="15" x14ac:dyDescent="0.25">
      <c r="C146" s="123">
        <v>204</v>
      </c>
      <c r="D146" s="123"/>
      <c r="E146" s="123" t="s">
        <v>251</v>
      </c>
      <c r="F146" s="124">
        <f>HLOOKUP($E$5,'Syndicats Bilan'!$F$4:$AG$227,140,0)</f>
        <v>1007784.02</v>
      </c>
    </row>
    <row r="147" spans="3:6" x14ac:dyDescent="0.2">
      <c r="D147" s="8">
        <v>2040</v>
      </c>
      <c r="E147" s="8" t="s">
        <v>60</v>
      </c>
      <c r="F147" s="13">
        <f>HLOOKUP($E$5,'Syndicats Bilan'!$F$4:$AG$227,141,0)</f>
        <v>19951.099999999999</v>
      </c>
    </row>
    <row r="148" spans="3:6" x14ac:dyDescent="0.2">
      <c r="D148" s="8">
        <v>2041</v>
      </c>
      <c r="E148" s="8" t="s">
        <v>273</v>
      </c>
      <c r="F148" s="13">
        <f>HLOOKUP($E$5,'Syndicats Bilan'!$F$4:$AG$227,142,0)</f>
        <v>741758.64</v>
      </c>
    </row>
    <row r="149" spans="3:6" x14ac:dyDescent="0.2">
      <c r="D149" s="8">
        <v>2042</v>
      </c>
      <c r="E149" s="8" t="s">
        <v>325</v>
      </c>
      <c r="F149" s="13">
        <f>HLOOKUP($E$5,'Syndicats Bilan'!$F$4:$AG$227,143,0)</f>
        <v>0</v>
      </c>
    </row>
    <row r="150" spans="3:6" x14ac:dyDescent="0.2">
      <c r="D150" s="8">
        <v>2043</v>
      </c>
      <c r="E150" s="8" t="s">
        <v>326</v>
      </c>
      <c r="F150" s="13">
        <f>HLOOKUP($E$5,'Syndicats Bilan'!$F$4:$AG$227,144,0)</f>
        <v>202132.5</v>
      </c>
    </row>
    <row r="151" spans="3:6" x14ac:dyDescent="0.2">
      <c r="D151" s="8">
        <v>2044</v>
      </c>
      <c r="E151" s="8" t="s">
        <v>406</v>
      </c>
      <c r="F151" s="13">
        <f>HLOOKUP($E$5,'Syndicats Bilan'!$F$4:$AG$227,145,0)</f>
        <v>31441.78</v>
      </c>
    </row>
    <row r="152" spans="3:6" x14ac:dyDescent="0.2">
      <c r="D152" s="8">
        <v>2045</v>
      </c>
      <c r="E152" s="8" t="s">
        <v>328</v>
      </c>
      <c r="F152" s="13">
        <f>HLOOKUP($E$5,'Syndicats Bilan'!$F$4:$AG$227,146,0)</f>
        <v>500</v>
      </c>
    </row>
    <row r="153" spans="3:6" x14ac:dyDescent="0.2">
      <c r="D153" s="8">
        <v>2046</v>
      </c>
      <c r="E153" s="8" t="s">
        <v>407</v>
      </c>
      <c r="F153" s="13">
        <f>HLOOKUP($E$5,'Syndicats Bilan'!$F$4:$AG$227,147,0)</f>
        <v>0</v>
      </c>
    </row>
    <row r="154" spans="3:6" x14ac:dyDescent="0.2">
      <c r="D154" s="8">
        <v>2049</v>
      </c>
      <c r="E154" s="8" t="s">
        <v>408</v>
      </c>
      <c r="F154" s="13">
        <f>HLOOKUP($E$5,'Syndicats Bilan'!$F$4:$AG$227,148,0)</f>
        <v>12000</v>
      </c>
    </row>
    <row r="155" spans="3:6" x14ac:dyDescent="0.2">
      <c r="F155" s="13"/>
    </row>
    <row r="156" spans="3:6" ht="15" x14ac:dyDescent="0.25">
      <c r="C156" s="123">
        <v>205</v>
      </c>
      <c r="D156" s="123"/>
      <c r="E156" s="123" t="s">
        <v>252</v>
      </c>
      <c r="F156" s="124">
        <f>HLOOKUP($E$5,'Syndicats Bilan'!$F$4:$AG$227,150,0)</f>
        <v>93316.63</v>
      </c>
    </row>
    <row r="157" spans="3:6" x14ac:dyDescent="0.2">
      <c r="D157" s="8">
        <v>2050</v>
      </c>
      <c r="E157" s="8" t="s">
        <v>409</v>
      </c>
      <c r="F157" s="13">
        <f>HLOOKUP($E$5,'Syndicats Bilan'!$F$4:$AG$227,151,0)</f>
        <v>93316.63</v>
      </c>
    </row>
    <row r="158" spans="3:6" x14ac:dyDescent="0.2">
      <c r="D158" s="8">
        <v>2051</v>
      </c>
      <c r="E158" s="8" t="s">
        <v>410</v>
      </c>
      <c r="F158" s="13">
        <f>HLOOKUP($E$5,'Syndicats Bilan'!$F$4:$AG$227,152,0)</f>
        <v>0</v>
      </c>
    </row>
    <row r="159" spans="3:6" x14ac:dyDescent="0.2">
      <c r="D159" s="8">
        <v>2052</v>
      </c>
      <c r="E159" s="8" t="s">
        <v>411</v>
      </c>
      <c r="F159" s="13">
        <f>HLOOKUP($E$5,'Syndicats Bilan'!$F$4:$AG$227,153,0)</f>
        <v>0</v>
      </c>
    </row>
    <row r="160" spans="3:6" x14ac:dyDescent="0.2">
      <c r="D160" s="8">
        <v>2053</v>
      </c>
      <c r="E160" s="8" t="s">
        <v>415</v>
      </c>
      <c r="F160" s="13">
        <f>HLOOKUP($E$5,'Syndicats Bilan'!$F$4:$AG$227,154,0)</f>
        <v>0</v>
      </c>
    </row>
    <row r="161" spans="3:6" x14ac:dyDescent="0.2">
      <c r="D161" s="8">
        <v>2054</v>
      </c>
      <c r="E161" s="8" t="s">
        <v>413</v>
      </c>
      <c r="F161" s="13">
        <f>HLOOKUP($E$5,'Syndicats Bilan'!$F$4:$AG$227,155,0)</f>
        <v>0</v>
      </c>
    </row>
    <row r="162" spans="3:6" x14ac:dyDescent="0.2">
      <c r="D162" s="8">
        <v>2055</v>
      </c>
      <c r="E162" s="8" t="s">
        <v>412</v>
      </c>
      <c r="F162" s="13">
        <f>HLOOKUP($E$5,'Syndicats Bilan'!$F$4:$AG$227,156,0)</f>
        <v>0</v>
      </c>
    </row>
    <row r="163" spans="3:6" x14ac:dyDescent="0.2">
      <c r="D163" s="8">
        <v>2056</v>
      </c>
      <c r="E163" s="8" t="s">
        <v>414</v>
      </c>
      <c r="F163" s="13">
        <f>HLOOKUP($E$5,'Syndicats Bilan'!$F$4:$AG$227,157,0)</f>
        <v>0</v>
      </c>
    </row>
    <row r="164" spans="3:6" x14ac:dyDescent="0.2">
      <c r="D164" s="8">
        <v>2057</v>
      </c>
      <c r="E164" s="8" t="s">
        <v>416</v>
      </c>
      <c r="F164" s="13">
        <f>HLOOKUP($E$5,'Syndicats Bilan'!$F$4:$AG$227,158,0)</f>
        <v>0</v>
      </c>
    </row>
    <row r="165" spans="3:6" x14ac:dyDescent="0.2">
      <c r="D165" s="8">
        <v>2058</v>
      </c>
      <c r="E165" s="8" t="s">
        <v>417</v>
      </c>
      <c r="F165" s="13">
        <f>HLOOKUP($E$5,'Syndicats Bilan'!$F$4:$AG$227,159,0)</f>
        <v>0</v>
      </c>
    </row>
    <row r="166" spans="3:6" x14ac:dyDescent="0.2">
      <c r="D166" s="8">
        <v>2059</v>
      </c>
      <c r="E166" s="8" t="s">
        <v>418</v>
      </c>
      <c r="F166" s="13">
        <f>HLOOKUP($E$5,'Syndicats Bilan'!$F$4:$AG$227,160,0)</f>
        <v>0</v>
      </c>
    </row>
    <row r="167" spans="3:6" x14ac:dyDescent="0.2">
      <c r="F167" s="13"/>
    </row>
    <row r="168" spans="3:6" ht="15" x14ac:dyDescent="0.25">
      <c r="C168" s="123">
        <v>206</v>
      </c>
      <c r="D168" s="123"/>
      <c r="E168" s="123" t="s">
        <v>253</v>
      </c>
      <c r="F168" s="124">
        <f>HLOOKUP($E$5,'Syndicats Bilan'!$F$4:$AG$227,162,0)</f>
        <v>43188939.210000001</v>
      </c>
    </row>
    <row r="169" spans="3:6" x14ac:dyDescent="0.2">
      <c r="D169" s="8">
        <v>2060</v>
      </c>
      <c r="E169" s="8" t="s">
        <v>419</v>
      </c>
      <c r="F169" s="13">
        <f>HLOOKUP($E$5,'Syndicats Bilan'!$F$4:$AG$227,163,0)</f>
        <v>0</v>
      </c>
    </row>
    <row r="170" spans="3:6" x14ac:dyDescent="0.2">
      <c r="D170" s="8">
        <v>2062</v>
      </c>
      <c r="E170" s="8" t="s">
        <v>420</v>
      </c>
      <c r="F170" s="13">
        <f>HLOOKUP($E$5,'Syndicats Bilan'!$F$4:$AG$227,164,0)</f>
        <v>0</v>
      </c>
    </row>
    <row r="171" spans="3:6" x14ac:dyDescent="0.2">
      <c r="D171" s="8">
        <v>2063</v>
      </c>
      <c r="E171" s="8" t="s">
        <v>421</v>
      </c>
      <c r="F171" s="13">
        <f>HLOOKUP($E$5,'Syndicats Bilan'!$F$4:$AG$227,165,0)</f>
        <v>32737639.210000001</v>
      </c>
    </row>
    <row r="172" spans="3:6" x14ac:dyDescent="0.2">
      <c r="D172" s="8">
        <v>2064</v>
      </c>
      <c r="E172" s="8" t="s">
        <v>442</v>
      </c>
      <c r="F172" s="13">
        <f>HLOOKUP($E$5,'Syndicats Bilan'!$F$4:$AG$227,166,0)</f>
        <v>10693700</v>
      </c>
    </row>
    <row r="173" spans="3:6" x14ac:dyDescent="0.2">
      <c r="D173" s="8">
        <v>2067</v>
      </c>
      <c r="E173" s="8" t="s">
        <v>423</v>
      </c>
      <c r="F173" s="13">
        <f>HLOOKUP($E$5,'Syndicats Bilan'!$F$4:$AG$227,167,0)</f>
        <v>0</v>
      </c>
    </row>
    <row r="174" spans="3:6" x14ac:dyDescent="0.2">
      <c r="D174" s="8">
        <v>2069</v>
      </c>
      <c r="E174" s="8" t="s">
        <v>424</v>
      </c>
      <c r="F174" s="13">
        <f>HLOOKUP($E$5,'Syndicats Bilan'!$F$4:$AG$227,168,0)</f>
        <v>-242400</v>
      </c>
    </row>
    <row r="175" spans="3:6" x14ac:dyDescent="0.2">
      <c r="F175" s="13"/>
    </row>
    <row r="176" spans="3:6" ht="15" x14ac:dyDescent="0.25">
      <c r="C176" s="123">
        <v>208</v>
      </c>
      <c r="D176" s="123"/>
      <c r="E176" s="123" t="s">
        <v>254</v>
      </c>
      <c r="F176" s="124">
        <f>HLOOKUP($E$5,'Syndicats Bilan'!$F$4:$AG$227,170,0)</f>
        <v>157777.19999999998</v>
      </c>
    </row>
    <row r="177" spans="3:6" x14ac:dyDescent="0.2">
      <c r="D177" s="8">
        <v>2081</v>
      </c>
      <c r="E177" s="8" t="s">
        <v>425</v>
      </c>
      <c r="F177" s="13">
        <f>HLOOKUP($E$5,'Syndicats Bilan'!$F$4:$AG$227,171,0)</f>
        <v>0</v>
      </c>
    </row>
    <row r="178" spans="3:6" x14ac:dyDescent="0.2">
      <c r="D178" s="8">
        <v>2082</v>
      </c>
      <c r="E178" s="8" t="s">
        <v>426</v>
      </c>
      <c r="F178" s="13">
        <f>HLOOKUP($E$5,'Syndicats Bilan'!$F$4:$AG$227,172,0)</f>
        <v>0</v>
      </c>
    </row>
    <row r="179" spans="3:6" x14ac:dyDescent="0.2">
      <c r="D179" s="8">
        <v>2083</v>
      </c>
      <c r="E179" s="8" t="s">
        <v>427</v>
      </c>
      <c r="F179" s="13">
        <f>HLOOKUP($E$5,'Syndicats Bilan'!$F$4:$AG$227,173,0)</f>
        <v>0</v>
      </c>
    </row>
    <row r="180" spans="3:6" x14ac:dyDescent="0.2">
      <c r="D180" s="8">
        <v>2084</v>
      </c>
      <c r="E180" s="8" t="s">
        <v>428</v>
      </c>
      <c r="F180" s="13">
        <f>HLOOKUP($E$5,'Syndicats Bilan'!$F$4:$AG$227,174,0)</f>
        <v>0</v>
      </c>
    </row>
    <row r="181" spans="3:6" x14ac:dyDescent="0.2">
      <c r="D181" s="8">
        <v>2085</v>
      </c>
      <c r="E181" s="8" t="s">
        <v>430</v>
      </c>
      <c r="F181" s="13">
        <f>HLOOKUP($E$5,'Syndicats Bilan'!$F$4:$AG$227,175,0)</f>
        <v>144535.79999999999</v>
      </c>
    </row>
    <row r="182" spans="3:6" x14ac:dyDescent="0.2">
      <c r="D182" s="8">
        <v>2086</v>
      </c>
      <c r="E182" s="8" t="s">
        <v>429</v>
      </c>
      <c r="F182" s="13">
        <f>HLOOKUP($E$5,'Syndicats Bilan'!$F$4:$AG$227,176,0)</f>
        <v>0</v>
      </c>
    </row>
    <row r="183" spans="3:6" x14ac:dyDescent="0.2">
      <c r="D183" s="8">
        <v>2087</v>
      </c>
      <c r="E183" s="8" t="s">
        <v>431</v>
      </c>
      <c r="F183" s="13">
        <f>HLOOKUP($E$5,'Syndicats Bilan'!$F$4:$AG$227,177,0)</f>
        <v>0</v>
      </c>
    </row>
    <row r="184" spans="3:6" x14ac:dyDescent="0.2">
      <c r="D184" s="8">
        <v>2088</v>
      </c>
      <c r="E184" s="8" t="s">
        <v>432</v>
      </c>
      <c r="F184" s="13">
        <f>HLOOKUP($E$5,'Syndicats Bilan'!$F$4:$AG$227,178,0)</f>
        <v>0</v>
      </c>
    </row>
    <row r="185" spans="3:6" x14ac:dyDescent="0.2">
      <c r="D185" s="8">
        <v>2089</v>
      </c>
      <c r="E185" s="8" t="s">
        <v>433</v>
      </c>
      <c r="F185" s="13">
        <f>HLOOKUP($E$5,'Syndicats Bilan'!$F$4:$AG$227,179,0)</f>
        <v>13241.4</v>
      </c>
    </row>
    <row r="186" spans="3:6" x14ac:dyDescent="0.2">
      <c r="F186" s="13"/>
    </row>
    <row r="187" spans="3:6" ht="15" x14ac:dyDescent="0.25">
      <c r="C187" s="123">
        <v>209</v>
      </c>
      <c r="D187" s="123"/>
      <c r="E187" s="123" t="s">
        <v>255</v>
      </c>
      <c r="F187" s="124">
        <f>HLOOKUP($E$5,'Syndicats Bilan'!$F$4:$AG$227,181,0)</f>
        <v>250000</v>
      </c>
    </row>
    <row r="188" spans="3:6" x14ac:dyDescent="0.2">
      <c r="D188" s="8">
        <v>2090</v>
      </c>
      <c r="E188" s="8" t="s">
        <v>255</v>
      </c>
      <c r="F188" s="13">
        <f>HLOOKUP($E$5,'Syndicats Bilan'!$F$4:$AG$227,182,0)</f>
        <v>0</v>
      </c>
    </row>
    <row r="189" spans="3:6" x14ac:dyDescent="0.2">
      <c r="D189" s="8">
        <v>2091</v>
      </c>
      <c r="E189" s="8" t="s">
        <v>434</v>
      </c>
      <c r="F189" s="13">
        <f>HLOOKUP($E$5,'Syndicats Bilan'!$F$4:$AG$227,183,0)</f>
        <v>250000</v>
      </c>
    </row>
    <row r="190" spans="3:6" x14ac:dyDescent="0.2">
      <c r="D190" s="8">
        <v>2092</v>
      </c>
      <c r="E190" s="8" t="s">
        <v>435</v>
      </c>
      <c r="F190" s="13">
        <f>HLOOKUP($E$5,'Syndicats Bilan'!$F$4:$AG$227,184,0)</f>
        <v>0</v>
      </c>
    </row>
    <row r="191" spans="3:6" x14ac:dyDescent="0.2">
      <c r="D191" s="8">
        <v>2093</v>
      </c>
      <c r="E191" s="8" t="s">
        <v>436</v>
      </c>
      <c r="F191" s="13">
        <f>HLOOKUP($E$5,'Syndicats Bilan'!$F$4:$AG$227,185,0)</f>
        <v>0</v>
      </c>
    </row>
    <row r="192" spans="3:6" x14ac:dyDescent="0.2">
      <c r="F192" s="13"/>
    </row>
    <row r="193" spans="2:6" ht="15" x14ac:dyDescent="0.25">
      <c r="B193" s="121">
        <v>29</v>
      </c>
      <c r="C193" s="121"/>
      <c r="D193" s="121"/>
      <c r="E193" s="121" t="s">
        <v>256</v>
      </c>
      <c r="F193" s="122">
        <f>HLOOKUP($E$5,'Syndicats Bilan'!$F$4:$AG$227,187,0)</f>
        <v>105527876.43000001</v>
      </c>
    </row>
    <row r="194" spans="2:6" ht="15" x14ac:dyDescent="0.25">
      <c r="C194" s="123">
        <v>290</v>
      </c>
      <c r="D194" s="123"/>
      <c r="E194" s="123" t="s">
        <v>257</v>
      </c>
      <c r="F194" s="124">
        <f>HLOOKUP($E$5,'Syndicats Bilan'!$F$4:$AG$227,188,0)</f>
        <v>10906682.719999999</v>
      </c>
    </row>
    <row r="195" spans="2:6" x14ac:dyDescent="0.2">
      <c r="D195" s="8">
        <v>2900</v>
      </c>
      <c r="E195" s="8" t="s">
        <v>257</v>
      </c>
      <c r="F195" s="13">
        <f>HLOOKUP($E$5,'Syndicats Bilan'!$F$4:$AG$227,189,0)</f>
        <v>10906682.719999999</v>
      </c>
    </row>
    <row r="196" spans="2:6" x14ac:dyDescent="0.2">
      <c r="F196" s="13"/>
    </row>
    <row r="197" spans="2:6" ht="15" x14ac:dyDescent="0.25">
      <c r="C197" s="123">
        <v>291</v>
      </c>
      <c r="D197" s="123"/>
      <c r="E197" s="123" t="s">
        <v>258</v>
      </c>
      <c r="F197" s="124">
        <f>HLOOKUP($E$5,'Syndicats Bilan'!$F$4:$AG$227,191,0)</f>
        <v>0</v>
      </c>
    </row>
    <row r="198" spans="2:6" x14ac:dyDescent="0.2">
      <c r="D198" s="8">
        <v>2910</v>
      </c>
      <c r="E198" s="8" t="s">
        <v>258</v>
      </c>
      <c r="F198" s="13">
        <f>HLOOKUP($E$5,'Syndicats Bilan'!$F$4:$AG$227,192,0)</f>
        <v>0</v>
      </c>
    </row>
    <row r="199" spans="2:6" x14ac:dyDescent="0.2">
      <c r="D199" s="8">
        <v>2911</v>
      </c>
      <c r="E199" s="8" t="s">
        <v>437</v>
      </c>
      <c r="F199" s="13">
        <f>HLOOKUP($E$5,'Syndicats Bilan'!$F$4:$AG$227,193,0)</f>
        <v>0</v>
      </c>
    </row>
    <row r="200" spans="2:6" x14ac:dyDescent="0.2">
      <c r="F200" s="13"/>
    </row>
    <row r="201" spans="2:6" ht="15" x14ac:dyDescent="0.25">
      <c r="C201" s="123">
        <v>292</v>
      </c>
      <c r="D201" s="123"/>
      <c r="E201" s="123" t="s">
        <v>259</v>
      </c>
      <c r="F201" s="124">
        <f>HLOOKUP($E$5,'Syndicats Bilan'!$F$4:$AG$227,195,0)</f>
        <v>10399.75</v>
      </c>
    </row>
    <row r="202" spans="2:6" x14ac:dyDescent="0.2">
      <c r="D202" s="8">
        <v>2920</v>
      </c>
      <c r="E202" s="8" t="s">
        <v>259</v>
      </c>
      <c r="F202" s="13">
        <f>HLOOKUP($E$5,'Syndicats Bilan'!$F$4:$AG$227,196,0)</f>
        <v>10399.75</v>
      </c>
    </row>
    <row r="203" spans="2:6" x14ac:dyDescent="0.2">
      <c r="F203" s="13"/>
    </row>
    <row r="204" spans="2:6" ht="15" x14ac:dyDescent="0.25">
      <c r="C204" s="123">
        <v>293</v>
      </c>
      <c r="D204" s="123"/>
      <c r="E204" s="123" t="s">
        <v>260</v>
      </c>
      <c r="F204" s="124">
        <f>HLOOKUP($E$5,'Syndicats Bilan'!$F$4:$AG$227,198,0)</f>
        <v>21514374.490000002</v>
      </c>
    </row>
    <row r="205" spans="2:6" x14ac:dyDescent="0.2">
      <c r="D205" s="8">
        <v>2930</v>
      </c>
      <c r="E205" s="8" t="s">
        <v>260</v>
      </c>
      <c r="F205" s="13">
        <f>HLOOKUP($E$5,'Syndicats Bilan'!$F$4:$AG$227,199,0)</f>
        <v>21514374.490000002</v>
      </c>
    </row>
    <row r="206" spans="2:6" x14ac:dyDescent="0.2">
      <c r="F206" s="13"/>
    </row>
    <row r="207" spans="2:6" ht="15" x14ac:dyDescent="0.25">
      <c r="C207" s="123">
        <v>294</v>
      </c>
      <c r="D207" s="123"/>
      <c r="E207" s="123" t="s">
        <v>261</v>
      </c>
      <c r="F207" s="124">
        <f>HLOOKUP($E$5,'Syndicats Bilan'!$F$4:$AG$227,201,0)</f>
        <v>523837.38999999996</v>
      </c>
    </row>
    <row r="208" spans="2:6" x14ac:dyDescent="0.2">
      <c r="D208" s="8">
        <v>2940</v>
      </c>
      <c r="E208" s="8" t="s">
        <v>261</v>
      </c>
      <c r="F208" s="13">
        <f>HLOOKUP($E$5,'Syndicats Bilan'!$F$4:$AG$227,202,0)</f>
        <v>523837.38999999996</v>
      </c>
    </row>
    <row r="209" spans="3:6" x14ac:dyDescent="0.2">
      <c r="F209" s="13"/>
    </row>
    <row r="210" spans="3:6" ht="15" x14ac:dyDescent="0.25">
      <c r="C210" s="123">
        <v>295</v>
      </c>
      <c r="D210" s="123"/>
      <c r="E210" s="123" t="s">
        <v>262</v>
      </c>
      <c r="F210" s="124">
        <f>HLOOKUP($E$5,'Syndicats Bilan'!$F$4:$AG$227,204,0)</f>
        <v>64055111.670000002</v>
      </c>
    </row>
    <row r="211" spans="3:6" x14ac:dyDescent="0.2">
      <c r="D211" s="8">
        <v>2950</v>
      </c>
      <c r="E211" s="8" t="s">
        <v>262</v>
      </c>
      <c r="F211" s="13">
        <f>HLOOKUP($E$5,'Syndicats Bilan'!$F$4:$AG$227,205,0)</f>
        <v>64055111.670000002</v>
      </c>
    </row>
    <row r="212" spans="3:6" x14ac:dyDescent="0.2">
      <c r="F212" s="13"/>
    </row>
    <row r="213" spans="3:6" ht="15" x14ac:dyDescent="0.25">
      <c r="C213" s="123">
        <v>296</v>
      </c>
      <c r="D213" s="123"/>
      <c r="E213" s="123" t="s">
        <v>263</v>
      </c>
      <c r="F213" s="124">
        <f>HLOOKUP($E$5,'Syndicats Bilan'!$F$4:$AG$227,207,0)</f>
        <v>63519</v>
      </c>
    </row>
    <row r="214" spans="3:6" x14ac:dyDescent="0.2">
      <c r="D214" s="8">
        <v>2960</v>
      </c>
      <c r="E214" s="8" t="s">
        <v>263</v>
      </c>
      <c r="F214" s="13">
        <f>HLOOKUP($E$5,'Syndicats Bilan'!$F$4:$AG$227,208,0)</f>
        <v>63519</v>
      </c>
    </row>
    <row r="215" spans="3:6" x14ac:dyDescent="0.2">
      <c r="F215" s="13"/>
    </row>
    <row r="216" spans="3:6" ht="15" x14ac:dyDescent="0.25">
      <c r="C216" s="123">
        <v>298</v>
      </c>
      <c r="D216" s="123"/>
      <c r="E216" s="123" t="s">
        <v>264</v>
      </c>
      <c r="F216" s="124">
        <f>HLOOKUP($E$5,'Syndicats Bilan'!$F$4:$AG$227,210,0)</f>
        <v>0</v>
      </c>
    </row>
    <row r="217" spans="3:6" x14ac:dyDescent="0.2">
      <c r="D217" s="8">
        <v>2980</v>
      </c>
      <c r="E217" s="8" t="s">
        <v>264</v>
      </c>
      <c r="F217" s="13">
        <f>HLOOKUP($E$5,'Syndicats Bilan'!$F$4:$AG$227,211,0)</f>
        <v>0</v>
      </c>
    </row>
    <row r="218" spans="3:6" x14ac:dyDescent="0.2">
      <c r="F218" s="13"/>
    </row>
    <row r="219" spans="3:6" ht="15" x14ac:dyDescent="0.25">
      <c r="C219" s="123">
        <v>299</v>
      </c>
      <c r="D219" s="123"/>
      <c r="E219" s="123" t="s">
        <v>438</v>
      </c>
      <c r="F219" s="124">
        <f>HLOOKUP($E$5,'Syndicats Bilan'!$F$4:$AG$227,213,0)</f>
        <v>8453951.4100000001</v>
      </c>
    </row>
    <row r="220" spans="3:6" x14ac:dyDescent="0.2">
      <c r="D220" s="8">
        <v>2990</v>
      </c>
      <c r="E220" s="8" t="s">
        <v>438</v>
      </c>
      <c r="F220" s="13">
        <f>HLOOKUP($E$5,'Syndicats Bilan'!$F$4:$AG$227,214,0)</f>
        <v>662140.67000000004</v>
      </c>
    </row>
    <row r="221" spans="3:6" x14ac:dyDescent="0.2">
      <c r="D221" s="8">
        <v>2999</v>
      </c>
      <c r="E221" s="8" t="s">
        <v>815</v>
      </c>
      <c r="F221" s="13">
        <f>HLOOKUP($E$5,'Syndicats Bilan'!$F$4:$AG$227,215,0)</f>
        <v>7791810.7399999993</v>
      </c>
    </row>
    <row r="222" spans="3:6" x14ac:dyDescent="0.2">
      <c r="F222" s="13"/>
    </row>
    <row r="223" spans="3:6" ht="15" x14ac:dyDescent="0.25">
      <c r="C223" s="127"/>
      <c r="D223" s="127"/>
      <c r="E223" s="127" t="s">
        <v>574</v>
      </c>
      <c r="F223" s="131">
        <f>HLOOKUP($E$5,'Syndicats Bilan'!$F$4:$AG$227,217,0)</f>
        <v>0</v>
      </c>
    </row>
    <row r="224" spans="3:6" x14ac:dyDescent="0.2">
      <c r="D224" s="8">
        <v>290</v>
      </c>
      <c r="E224" s="8" t="s">
        <v>573</v>
      </c>
      <c r="F224" s="13">
        <f>HLOOKUP($E$5,'Syndicats Bilan'!$F$4:$AG$227,218,0)</f>
        <v>187856.89</v>
      </c>
    </row>
    <row r="225" spans="4:6" x14ac:dyDescent="0.2">
      <c r="D225" s="8">
        <v>2990</v>
      </c>
      <c r="E225" s="8" t="s">
        <v>577</v>
      </c>
      <c r="F225" s="13">
        <f>HLOOKUP($E$5,'Syndicats Bilan'!$F$4:$AG$227,219,0)</f>
        <v>662140.67000000004</v>
      </c>
    </row>
    <row r="226" spans="4:6" x14ac:dyDescent="0.2">
      <c r="F226" s="13"/>
    </row>
    <row r="227" spans="4:6" ht="15" x14ac:dyDescent="0.25">
      <c r="E227" s="7" t="s">
        <v>576</v>
      </c>
      <c r="F227" s="13">
        <f>HLOOKUP($E$5,'Syndicats Bilan'!$F$4:$AG$227,221,0)</f>
        <v>849997.56</v>
      </c>
    </row>
    <row r="228" spans="4:6" x14ac:dyDescent="0.2">
      <c r="F228" s="13"/>
    </row>
    <row r="229" spans="4:6" x14ac:dyDescent="0.2">
      <c r="E229" s="86" t="s">
        <v>575</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H39" sqref="H39"/>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2" t="s">
        <v>865</v>
      </c>
      <c r="B2" s="7"/>
    </row>
    <row r="3" spans="1:30" ht="15" customHeight="1" x14ac:dyDescent="0.25">
      <c r="A3" s="133" t="s">
        <v>804</v>
      </c>
      <c r="B3" s="7"/>
    </row>
    <row r="4" spans="1:30" ht="15" customHeight="1" x14ac:dyDescent="0.25">
      <c r="A4" s="7"/>
      <c r="B4" s="7"/>
    </row>
    <row r="5" spans="1:30" ht="15" customHeight="1" x14ac:dyDescent="0.4">
      <c r="A5" s="6"/>
      <c r="B5" s="7"/>
    </row>
    <row r="6" spans="1:30" ht="15" x14ac:dyDescent="0.25">
      <c r="A6" s="134"/>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0" t="s">
        <v>778</v>
      </c>
      <c r="D7" s="90" t="s">
        <v>779</v>
      </c>
      <c r="E7" s="90" t="s">
        <v>780</v>
      </c>
      <c r="F7" s="90" t="s">
        <v>781</v>
      </c>
      <c r="G7" s="90" t="s">
        <v>782</v>
      </c>
      <c r="H7" s="90" t="s">
        <v>783</v>
      </c>
      <c r="I7" s="90" t="s">
        <v>784</v>
      </c>
      <c r="J7" s="90" t="s">
        <v>807</v>
      </c>
      <c r="K7" s="90" t="s">
        <v>785</v>
      </c>
      <c r="L7" s="90" t="s">
        <v>786</v>
      </c>
      <c r="M7" s="90" t="s">
        <v>787</v>
      </c>
      <c r="N7" s="90" t="s">
        <v>788</v>
      </c>
      <c r="O7" s="90" t="s">
        <v>789</v>
      </c>
      <c r="P7" s="90" t="s">
        <v>790</v>
      </c>
      <c r="Q7" s="90" t="s">
        <v>791</v>
      </c>
      <c r="R7" s="90" t="s">
        <v>792</v>
      </c>
      <c r="S7" s="90" t="s">
        <v>793</v>
      </c>
      <c r="T7" s="90" t="s">
        <v>794</v>
      </c>
      <c r="U7" s="90" t="s">
        <v>795</v>
      </c>
      <c r="V7" s="90" t="s">
        <v>796</v>
      </c>
      <c r="W7" s="90" t="s">
        <v>797</v>
      </c>
      <c r="X7" s="90" t="s">
        <v>798</v>
      </c>
      <c r="Y7" s="90" t="s">
        <v>799</v>
      </c>
      <c r="Z7" s="90" t="s">
        <v>800</v>
      </c>
      <c r="AA7" s="90" t="s">
        <v>801</v>
      </c>
      <c r="AB7" s="90" t="s">
        <v>802</v>
      </c>
      <c r="AC7" s="90" t="s">
        <v>803</v>
      </c>
      <c r="AD7" s="112" t="s">
        <v>64</v>
      </c>
    </row>
    <row r="8" spans="1:30" x14ac:dyDescent="0.2">
      <c r="A8" s="8">
        <v>10</v>
      </c>
      <c r="B8" s="8" t="s">
        <v>236</v>
      </c>
      <c r="C8" s="19">
        <f>'Syndicats Bilan'!F6</f>
        <v>272632.82999999996</v>
      </c>
      <c r="D8" s="19">
        <f>'Syndicats Bilan'!G6</f>
        <v>4501972.8099999996</v>
      </c>
      <c r="E8" s="19">
        <f>'Syndicats Bilan'!H6</f>
        <v>273474.06</v>
      </c>
      <c r="F8" s="19">
        <f>'Syndicats Bilan'!I6</f>
        <v>12267484.26</v>
      </c>
      <c r="G8" s="19">
        <f>'Syndicats Bilan'!J6</f>
        <v>990697.72</v>
      </c>
      <c r="H8" s="19">
        <f>'Syndicats Bilan'!K6</f>
        <v>97262.099999999991</v>
      </c>
      <c r="I8" s="19">
        <f>'Syndicats Bilan'!L6</f>
        <v>512461.91</v>
      </c>
      <c r="J8" s="19">
        <f>'Syndicats Bilan'!M6</f>
        <v>890591.99000000011</v>
      </c>
      <c r="K8" s="19">
        <f>'Syndicats Bilan'!N6</f>
        <v>84342.56</v>
      </c>
      <c r="L8" s="19">
        <f>'Syndicats Bilan'!O6</f>
        <v>252969.53</v>
      </c>
      <c r="M8" s="19">
        <f>'Syndicats Bilan'!P6</f>
        <v>10220881.9</v>
      </c>
      <c r="N8" s="19">
        <f>'Syndicats Bilan'!Q6</f>
        <v>58599.05</v>
      </c>
      <c r="O8" s="19">
        <f>'Syndicats Bilan'!R6</f>
        <v>6486.04</v>
      </c>
      <c r="P8" s="19">
        <f>'Syndicats Bilan'!S6</f>
        <v>37862.01</v>
      </c>
      <c r="Q8" s="19">
        <f>'Syndicats Bilan'!T6</f>
        <v>5238.6499999999996</v>
      </c>
      <c r="R8" s="19">
        <f>'Syndicats Bilan'!U6</f>
        <v>1319407.1100000001</v>
      </c>
      <c r="S8" s="19">
        <f>'Syndicats Bilan'!V6</f>
        <v>3274922.7800000003</v>
      </c>
      <c r="T8" s="19">
        <f>'Syndicats Bilan'!W6</f>
        <v>10435.620000000001</v>
      </c>
      <c r="U8" s="19">
        <f>'Syndicats Bilan'!X6</f>
        <v>32684.899999999998</v>
      </c>
      <c r="V8" s="19">
        <f>'Syndicats Bilan'!Y6</f>
        <v>3407044.75</v>
      </c>
      <c r="W8" s="19">
        <f>'Syndicats Bilan'!Z6</f>
        <v>2676361.59</v>
      </c>
      <c r="X8" s="19">
        <f>'Syndicats Bilan'!AA6</f>
        <v>449280.11</v>
      </c>
      <c r="Y8" s="19">
        <f>'Syndicats Bilan'!AB6</f>
        <v>3039652.1300000004</v>
      </c>
      <c r="Z8" s="19">
        <f>'Syndicats Bilan'!AC6</f>
        <v>302346.57</v>
      </c>
      <c r="AA8" s="19">
        <f>'Syndicats Bilan'!AD6</f>
        <v>154800.25</v>
      </c>
      <c r="AB8" s="19">
        <f>'Syndicats Bilan'!AE6</f>
        <v>653060.01000000013</v>
      </c>
      <c r="AC8" s="19">
        <f>'Syndicats Bilan'!AF6</f>
        <v>950291.53</v>
      </c>
      <c r="AD8" s="19">
        <f>SUM(C8:AC8)</f>
        <v>46743244.770000003</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248</v>
      </c>
      <c r="C10" s="19">
        <f>'Syndicats Bilan'!F122</f>
        <v>2925235.9499999997</v>
      </c>
      <c r="D10" s="19">
        <f>'Syndicats Bilan'!G122</f>
        <v>488651.95000000007</v>
      </c>
      <c r="E10" s="19">
        <f>'Syndicats Bilan'!H122</f>
        <v>6980</v>
      </c>
      <c r="F10" s="19">
        <f>'Syndicats Bilan'!I122</f>
        <v>3370842.6</v>
      </c>
      <c r="G10" s="19">
        <f>'Syndicats Bilan'!J122</f>
        <v>1842352.2</v>
      </c>
      <c r="H10" s="19">
        <f>'Syndicats Bilan'!K122</f>
        <v>2735019.75</v>
      </c>
      <c r="I10" s="19">
        <f>'Syndicats Bilan'!L122</f>
        <v>882451.90999999992</v>
      </c>
      <c r="J10" s="19">
        <f>'Syndicats Bilan'!M122</f>
        <v>4297632.83</v>
      </c>
      <c r="K10" s="19">
        <f>'Syndicats Bilan'!N122</f>
        <v>84342.56</v>
      </c>
      <c r="L10" s="19">
        <f>'Syndicats Bilan'!O122</f>
        <v>231628.27000000002</v>
      </c>
      <c r="M10" s="19">
        <f>'Syndicats Bilan'!P122</f>
        <v>106933.74999999999</v>
      </c>
      <c r="N10" s="19">
        <f>'Syndicats Bilan'!Q122</f>
        <v>5461</v>
      </c>
      <c r="O10" s="19">
        <f>'Syndicats Bilan'!R122</f>
        <v>23115.45</v>
      </c>
      <c r="P10" s="19">
        <f>'Syndicats Bilan'!S122</f>
        <v>-332.7</v>
      </c>
      <c r="Q10" s="19">
        <f>'Syndicats Bilan'!T122</f>
        <v>0</v>
      </c>
      <c r="R10" s="19">
        <f>'Syndicats Bilan'!U122</f>
        <v>674019.29</v>
      </c>
      <c r="S10" s="19">
        <f>'Syndicats Bilan'!V122</f>
        <v>2613048.23</v>
      </c>
      <c r="T10" s="19">
        <f>'Syndicats Bilan'!W122</f>
        <v>1368039.9100000001</v>
      </c>
      <c r="U10" s="19">
        <f>'Syndicats Bilan'!X122</f>
        <v>3624.75</v>
      </c>
      <c r="V10" s="19">
        <f>'Syndicats Bilan'!Y122</f>
        <v>901187.16</v>
      </c>
      <c r="W10" s="19">
        <f>'Syndicats Bilan'!Z122</f>
        <v>19685403.859999999</v>
      </c>
      <c r="X10" s="19">
        <f>'Syndicats Bilan'!AA122</f>
        <v>1926725.09</v>
      </c>
      <c r="Y10" s="19">
        <f>'Syndicats Bilan'!AB122</f>
        <v>4367536.05</v>
      </c>
      <c r="Z10" s="19">
        <f>'Syndicats Bilan'!AC122</f>
        <v>0</v>
      </c>
      <c r="AA10" s="19">
        <f>'Syndicats Bilan'!AD122</f>
        <v>4800.25</v>
      </c>
      <c r="AB10" s="19">
        <f>'Syndicats Bilan'!AE122</f>
        <v>7669130.3799999999</v>
      </c>
      <c r="AC10" s="19">
        <f>'Syndicats Bilan'!AF122</f>
        <v>290227.05</v>
      </c>
      <c r="AD10" s="19">
        <f>SUM(C10:AC10)</f>
        <v>56504057.539999999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445</v>
      </c>
      <c r="C12" s="19">
        <f>'Syndicats Bilan'!F123</f>
        <v>116858.95</v>
      </c>
      <c r="D12" s="19">
        <f>'Syndicats Bilan'!G123</f>
        <v>300850.43000000005</v>
      </c>
      <c r="E12" s="19">
        <f>'Syndicats Bilan'!H123</f>
        <v>0</v>
      </c>
      <c r="F12" s="19">
        <f>'Syndicats Bilan'!I123</f>
        <v>3120842.6</v>
      </c>
      <c r="G12" s="19">
        <f>'Syndicats Bilan'!J123</f>
        <v>55092.2</v>
      </c>
      <c r="H12" s="19">
        <f>'Syndicats Bilan'!K123</f>
        <v>96740.2</v>
      </c>
      <c r="I12" s="19">
        <f>'Syndicats Bilan'!L123</f>
        <v>365783.86</v>
      </c>
      <c r="J12" s="19">
        <f>'Syndicats Bilan'!M123</f>
        <v>186892.44999999998</v>
      </c>
      <c r="K12" s="19">
        <f>'Syndicats Bilan'!N123</f>
        <v>8803.75</v>
      </c>
      <c r="L12" s="19">
        <f>'Syndicats Bilan'!O123</f>
        <v>0</v>
      </c>
      <c r="M12" s="19">
        <f>'Syndicats Bilan'!P123</f>
        <v>105641.34999999999</v>
      </c>
      <c r="N12" s="19">
        <f>'Syndicats Bilan'!Q123</f>
        <v>5461</v>
      </c>
      <c r="O12" s="19">
        <f>'Syndicats Bilan'!R123</f>
        <v>0</v>
      </c>
      <c r="P12" s="19">
        <f>'Syndicats Bilan'!S123</f>
        <v>0</v>
      </c>
      <c r="Q12" s="19">
        <f>'Syndicats Bilan'!T123</f>
        <v>0</v>
      </c>
      <c r="R12" s="19">
        <f>'Syndicats Bilan'!U123</f>
        <v>30883.629999999997</v>
      </c>
      <c r="S12" s="19">
        <f>'Syndicats Bilan'!V123</f>
        <v>18048.23</v>
      </c>
      <c r="T12" s="19">
        <f>'Syndicats Bilan'!W123</f>
        <v>0</v>
      </c>
      <c r="U12" s="19">
        <f>'Syndicats Bilan'!X123</f>
        <v>0</v>
      </c>
      <c r="V12" s="19">
        <f>'Syndicats Bilan'!Y123</f>
        <v>123381.62000000001</v>
      </c>
      <c r="W12" s="19">
        <f>'Syndicats Bilan'!Z123</f>
        <v>646698.68999999994</v>
      </c>
      <c r="X12" s="19">
        <f>'Syndicats Bilan'!AA123</f>
        <v>0</v>
      </c>
      <c r="Y12" s="19">
        <f>'Syndicats Bilan'!AB123</f>
        <v>321288.05</v>
      </c>
      <c r="Z12" s="19">
        <f>'Syndicats Bilan'!AC123</f>
        <v>0</v>
      </c>
      <c r="AA12" s="19">
        <f>'Syndicats Bilan'!AD123</f>
        <v>0</v>
      </c>
      <c r="AB12" s="19">
        <f>'Syndicats Bilan'!AE123</f>
        <v>279189.48</v>
      </c>
      <c r="AC12" s="19">
        <f>'Syndicats Bilan'!AF123</f>
        <v>10702.8</v>
      </c>
      <c r="AD12" s="19">
        <f>SUM(C12:AC12)</f>
        <v>5793159.29</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250</v>
      </c>
      <c r="C14" s="19">
        <f>'Syndicats Bilan'!F133</f>
        <v>0</v>
      </c>
      <c r="D14" s="19">
        <f>'Syndicats Bilan'!G133</f>
        <v>0</v>
      </c>
      <c r="E14" s="19">
        <f>'Syndicats Bilan'!H133</f>
        <v>0</v>
      </c>
      <c r="F14" s="19">
        <f>'Syndicats Bilan'!I133</f>
        <v>0</v>
      </c>
      <c r="G14" s="19">
        <f>'Syndicats Bilan'!J133</f>
        <v>0</v>
      </c>
      <c r="H14" s="19">
        <f>'Syndicats Bilan'!K133</f>
        <v>348400</v>
      </c>
      <c r="I14" s="19">
        <f>'Syndicats Bilan'!L133</f>
        <v>0</v>
      </c>
      <c r="J14" s="19">
        <f>'Syndicats Bilan'!M133</f>
        <v>643085.38</v>
      </c>
      <c r="K14" s="19">
        <f>'Syndicats Bilan'!N133</f>
        <v>0</v>
      </c>
      <c r="L14" s="19">
        <f>'Syndicats Bilan'!O133</f>
        <v>28234.27</v>
      </c>
      <c r="M14" s="19">
        <f>'Syndicats Bilan'!P133</f>
        <v>0</v>
      </c>
      <c r="N14" s="19">
        <f>'Syndicats Bilan'!Q133</f>
        <v>0</v>
      </c>
      <c r="O14" s="19">
        <f>'Syndicats Bilan'!R133</f>
        <v>0</v>
      </c>
      <c r="P14" s="19">
        <f>'Syndicats Bilan'!S133</f>
        <v>0</v>
      </c>
      <c r="Q14" s="19">
        <f>'Syndicats Bilan'!T133</f>
        <v>0</v>
      </c>
      <c r="R14" s="19">
        <f>'Syndicats Bilan'!U133</f>
        <v>223373.95</v>
      </c>
      <c r="S14" s="19">
        <f>'Syndicats Bilan'!V133</f>
        <v>0</v>
      </c>
      <c r="T14" s="19">
        <f>'Syndicats Bilan'!W133</f>
        <v>868039.91</v>
      </c>
      <c r="U14" s="19">
        <f>'Syndicats Bilan'!X133</f>
        <v>0</v>
      </c>
      <c r="V14" s="19">
        <f>'Syndicats Bilan'!Y133</f>
        <v>628705.54</v>
      </c>
      <c r="W14" s="19">
        <f>'Syndicats Bilan'!Z133</f>
        <v>2513742.14</v>
      </c>
      <c r="X14" s="19">
        <f>'Syndicats Bilan'!AA133</f>
        <v>0</v>
      </c>
      <c r="Y14" s="19">
        <f>'Syndicats Bilan'!AB133</f>
        <v>509500</v>
      </c>
      <c r="Z14" s="19">
        <f>'Syndicats Bilan'!AC133</f>
        <v>0</v>
      </c>
      <c r="AA14" s="19">
        <f>'Syndicats Bilan'!AD133</f>
        <v>0</v>
      </c>
      <c r="AB14" s="19">
        <f>'Syndicats Bilan'!AE133</f>
        <v>250000</v>
      </c>
      <c r="AC14" s="19">
        <f>'Syndicats Bilan'!AF133</f>
        <v>0</v>
      </c>
      <c r="AD14" s="19">
        <f>SUM(C14:AC14)</f>
        <v>6013081.1900000004</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253</v>
      </c>
      <c r="C16" s="19">
        <f>'Syndicats Bilan'!F165</f>
        <v>2750226.55</v>
      </c>
      <c r="D16" s="19">
        <f>'Syndicats Bilan'!G165</f>
        <v>0</v>
      </c>
      <c r="E16" s="19">
        <f>'Syndicats Bilan'!H165</f>
        <v>0</v>
      </c>
      <c r="F16" s="19">
        <f>'Syndicats Bilan'!I165</f>
        <v>0</v>
      </c>
      <c r="G16" s="19">
        <f>'Syndicats Bilan'!J165</f>
        <v>1787260</v>
      </c>
      <c r="H16" s="19">
        <f>'Syndicats Bilan'!K165</f>
        <v>2289879.5499999998</v>
      </c>
      <c r="I16" s="19">
        <f>'Syndicats Bilan'!L165</f>
        <v>500000</v>
      </c>
      <c r="J16" s="19">
        <f>'Syndicats Bilan'!M165</f>
        <v>3461800</v>
      </c>
      <c r="K16" s="19">
        <f>'Syndicats Bilan'!N165</f>
        <v>0</v>
      </c>
      <c r="L16" s="19">
        <f>'Syndicats Bilan'!O165</f>
        <v>106000</v>
      </c>
      <c r="M16" s="19">
        <f>'Syndicats Bilan'!P165</f>
        <v>0</v>
      </c>
      <c r="N16" s="19">
        <f>'Syndicats Bilan'!Q165</f>
        <v>0</v>
      </c>
      <c r="O16" s="19">
        <f>'Syndicats Bilan'!R165</f>
        <v>19200</v>
      </c>
      <c r="P16" s="19">
        <f>'Syndicats Bilan'!S165</f>
        <v>0</v>
      </c>
      <c r="Q16" s="19">
        <f>'Syndicats Bilan'!T165</f>
        <v>0</v>
      </c>
      <c r="R16" s="19">
        <f>'Syndicats Bilan'!U165</f>
        <v>398873.11</v>
      </c>
      <c r="S16" s="19">
        <f>'Syndicats Bilan'!V165</f>
        <v>2595000</v>
      </c>
      <c r="T16" s="19">
        <f>'Syndicats Bilan'!W165</f>
        <v>500000</v>
      </c>
      <c r="U16" s="19">
        <f>'Syndicats Bilan'!X165</f>
        <v>0</v>
      </c>
      <c r="V16" s="19">
        <f>'Syndicats Bilan'!Y165</f>
        <v>149100</v>
      </c>
      <c r="W16" s="19">
        <f>'Syndicats Bilan'!Z165</f>
        <v>16247800</v>
      </c>
      <c r="X16" s="19">
        <f>'Syndicats Bilan'!AA165</f>
        <v>1775300</v>
      </c>
      <c r="Y16" s="19">
        <f>'Syndicats Bilan'!AB165</f>
        <v>3508500</v>
      </c>
      <c r="Z16" s="19">
        <f>'Syndicats Bilan'!AC165</f>
        <v>0</v>
      </c>
      <c r="AA16" s="19">
        <f>'Syndicats Bilan'!AD165</f>
        <v>0</v>
      </c>
      <c r="AB16" s="19">
        <f>'Syndicats Bilan'!AE165</f>
        <v>7100000</v>
      </c>
      <c r="AC16" s="19">
        <f>'Syndicats Bilan'!AF165</f>
        <v>0</v>
      </c>
      <c r="AD16" s="19">
        <f>SUM(C16:AC16)</f>
        <v>43188939.210000001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265</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36" t="s">
        <v>557</v>
      </c>
      <c r="C21" s="137">
        <f>C12+C14+C16-C18</f>
        <v>2867085.5</v>
      </c>
      <c r="D21" s="137">
        <f t="shared" ref="D21:AC21" si="0">D12+D14+D16-D18</f>
        <v>300850.43000000005</v>
      </c>
      <c r="E21" s="137">
        <f t="shared" si="0"/>
        <v>0</v>
      </c>
      <c r="F21" s="137">
        <f t="shared" si="0"/>
        <v>3120842.6</v>
      </c>
      <c r="G21" s="137">
        <f t="shared" si="0"/>
        <v>1842352.2</v>
      </c>
      <c r="H21" s="137">
        <f t="shared" si="0"/>
        <v>2735019.75</v>
      </c>
      <c r="I21" s="137">
        <f t="shared" si="0"/>
        <v>865783.86</v>
      </c>
      <c r="J21" s="137">
        <f t="shared" si="0"/>
        <v>4291777.83</v>
      </c>
      <c r="K21" s="137">
        <f t="shared" si="0"/>
        <v>8803.75</v>
      </c>
      <c r="L21" s="137">
        <f t="shared" si="0"/>
        <v>134234.26999999999</v>
      </c>
      <c r="M21" s="137">
        <f t="shared" si="0"/>
        <v>105641.34999999999</v>
      </c>
      <c r="N21" s="137">
        <f t="shared" si="0"/>
        <v>5461</v>
      </c>
      <c r="O21" s="137">
        <f t="shared" si="0"/>
        <v>19200</v>
      </c>
      <c r="P21" s="137">
        <f t="shared" si="0"/>
        <v>0</v>
      </c>
      <c r="Q21" s="137">
        <f t="shared" si="0"/>
        <v>0</v>
      </c>
      <c r="R21" s="137">
        <f t="shared" si="0"/>
        <v>653130.68999999994</v>
      </c>
      <c r="S21" s="137">
        <f t="shared" si="0"/>
        <v>2613048.23</v>
      </c>
      <c r="T21" s="137">
        <f t="shared" si="0"/>
        <v>1368039.9100000001</v>
      </c>
      <c r="U21" s="137">
        <f t="shared" si="0"/>
        <v>0</v>
      </c>
      <c r="V21" s="137">
        <f t="shared" si="0"/>
        <v>901187.16</v>
      </c>
      <c r="W21" s="137">
        <f t="shared" si="0"/>
        <v>19408240.829999998</v>
      </c>
      <c r="X21" s="137">
        <f t="shared" si="0"/>
        <v>1775300</v>
      </c>
      <c r="Y21" s="137">
        <f t="shared" si="0"/>
        <v>4339288.05</v>
      </c>
      <c r="Z21" s="137">
        <f t="shared" si="0"/>
        <v>0</v>
      </c>
      <c r="AA21" s="137">
        <f t="shared" si="0"/>
        <v>0</v>
      </c>
      <c r="AB21" s="137">
        <f t="shared" si="0"/>
        <v>7629189.4800000004</v>
      </c>
      <c r="AC21" s="137">
        <f t="shared" si="0"/>
        <v>10702.8</v>
      </c>
      <c r="AD21" s="137">
        <f>SUM(C21:AC21)</f>
        <v>54995179.689999998</v>
      </c>
    </row>
    <row r="22" spans="1:30" ht="15" x14ac:dyDescent="0.25">
      <c r="B22" s="7"/>
      <c r="C22" s="82"/>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2"/>
      <c r="AD22" s="82"/>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H39" sqref="H39"/>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877</v>
      </c>
      <c r="B2" s="7"/>
    </row>
    <row r="3" spans="1:3" ht="15" customHeight="1" x14ac:dyDescent="0.4">
      <c r="A3" s="6"/>
      <c r="B3" s="7"/>
    </row>
    <row r="4" spans="1:3" ht="15" customHeight="1" thickBot="1" x14ac:dyDescent="0.3">
      <c r="A4" s="7"/>
      <c r="B4" s="86" t="s">
        <v>805</v>
      </c>
    </row>
    <row r="5" spans="1:3" ht="15" customHeight="1" thickBot="1" x14ac:dyDescent="0.45">
      <c r="A5" s="6"/>
      <c r="B5" s="139" t="s">
        <v>64</v>
      </c>
    </row>
    <row r="6" spans="1:3" ht="15" customHeight="1" x14ac:dyDescent="0.25">
      <c r="C6" s="30"/>
    </row>
    <row r="7" spans="1:3" ht="15" customHeight="1" x14ac:dyDescent="0.25">
      <c r="C7" s="140" t="s">
        <v>198</v>
      </c>
    </row>
    <row r="8" spans="1:3" x14ac:dyDescent="0.2">
      <c r="A8" s="8">
        <v>10</v>
      </c>
      <c r="B8" s="8" t="s">
        <v>236</v>
      </c>
      <c r="C8" s="13">
        <f>HLOOKUP($B$5,'Syndicats endettement'!C7:AD24,2,0)</f>
        <v>46743244.770000003</v>
      </c>
    </row>
    <row r="9" spans="1:3" x14ac:dyDescent="0.2">
      <c r="C9" s="13"/>
    </row>
    <row r="10" spans="1:3" x14ac:dyDescent="0.2">
      <c r="A10" s="8">
        <v>20</v>
      </c>
      <c r="B10" s="8" t="s">
        <v>248</v>
      </c>
      <c r="C10" s="13">
        <f>HLOOKUP($B$5,'Syndicats endettement'!$C$7:$AD$21,4,0)</f>
        <v>56504057.539999999</v>
      </c>
    </row>
    <row r="11" spans="1:3" x14ac:dyDescent="0.2">
      <c r="C11" s="13"/>
    </row>
    <row r="12" spans="1:3" x14ac:dyDescent="0.2">
      <c r="A12" s="8">
        <v>200</v>
      </c>
      <c r="B12" s="8" t="s">
        <v>445</v>
      </c>
      <c r="C12" s="13">
        <f>HLOOKUP($B$5,'Syndicats endettement'!$C$7:$AD$21,6,0)</f>
        <v>5793159.29</v>
      </c>
    </row>
    <row r="13" spans="1:3" x14ac:dyDescent="0.2">
      <c r="C13" s="13"/>
    </row>
    <row r="14" spans="1:3" x14ac:dyDescent="0.2">
      <c r="A14" s="8">
        <v>201</v>
      </c>
      <c r="B14" s="8" t="s">
        <v>250</v>
      </c>
      <c r="C14" s="13">
        <f>HLOOKUP($B$5,'Syndicats endettement'!$C$7:$AD$21,8,0)</f>
        <v>6013081.1900000004</v>
      </c>
    </row>
    <row r="15" spans="1:3" x14ac:dyDescent="0.2">
      <c r="C15" s="13"/>
    </row>
    <row r="16" spans="1:3" x14ac:dyDescent="0.2">
      <c r="A16" s="8">
        <v>206</v>
      </c>
      <c r="B16" s="8" t="s">
        <v>253</v>
      </c>
      <c r="C16" s="13">
        <f>HLOOKUP($B$5,'Syndicats endettement'!$C$7:$AD$21,10,0)</f>
        <v>43188939.210000001</v>
      </c>
    </row>
    <row r="17" spans="1:3" x14ac:dyDescent="0.2">
      <c r="C17" s="13"/>
    </row>
    <row r="18" spans="1:3" x14ac:dyDescent="0.2">
      <c r="A18" s="8">
        <v>2016</v>
      </c>
      <c r="B18" s="8" t="s">
        <v>265</v>
      </c>
      <c r="C18" s="13">
        <f>HLOOKUP($B$5,'Syndicats endettement'!$C$7:$AD$21,12,0)</f>
        <v>0</v>
      </c>
    </row>
    <row r="19" spans="1:3" x14ac:dyDescent="0.2">
      <c r="C19" s="13"/>
    </row>
    <row r="20" spans="1:3" x14ac:dyDescent="0.2">
      <c r="C20" s="13"/>
    </row>
    <row r="21" spans="1:3" ht="15" x14ac:dyDescent="0.25">
      <c r="B21" s="136" t="s">
        <v>557</v>
      </c>
      <c r="C21" s="138">
        <f>HLOOKUP($B$5,'Syndicats endettement'!$C$7:$AD$21,15,0)</f>
        <v>54995179.689999998</v>
      </c>
    </row>
    <row r="22" spans="1:3" ht="15" x14ac:dyDescent="0.25">
      <c r="B22" s="136" t="s">
        <v>492</v>
      </c>
      <c r="C22" s="138">
        <f>C21-C8</f>
        <v>8251934.9199999943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2023 natures</vt:lpstr>
      <vt:lpstr>Graphique par nature</vt:lpstr>
      <vt:lpstr>Résultats par commune</vt:lpstr>
      <vt:lpstr>4.9 Comptes 2023 par habitant</vt:lpstr>
      <vt:lpstr>4.2 Comptes 2023 par commune</vt:lpstr>
      <vt:lpstr>4.10 Comptes 2023 Hab. par com</vt:lpstr>
      <vt:lpstr>4.5 Vue d'ensemble</vt:lpstr>
      <vt:lpstr>4.6 Vue par commune</vt:lpstr>
      <vt:lpstr>4.3 Résultats à 3 niveaux</vt:lpstr>
      <vt:lpstr>4.4 Résultats à 3 par commune</vt:lpstr>
      <vt:lpstr>4.7 Autofinancement</vt:lpstr>
      <vt:lpstr>4.8 Autofinancement par commune</vt:lpstr>
      <vt:lpstr>4.11 Comptes 2023 fonctionnelle</vt:lpstr>
      <vt:lpstr>4.12 Fonctionnelle par commune</vt:lpstr>
      <vt:lpstr>Tableau fonctionnelle</vt:lpstr>
      <vt:lpstr>4.12.1 et 2 Graph par fonction</vt:lpstr>
      <vt:lpstr>5. Bilan 2023</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2023</vt:lpstr>
      <vt:lpstr>Comptes 2023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2023</vt:lpstr>
      <vt:lpstr>Comptes 2023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2024-09-11T06:39:14Z</cp:lastPrinted>
  <dcterms:created xsi:type="dcterms:W3CDTF">2015-10-26T07:38:03Z</dcterms:created>
  <dcterms:modified xsi:type="dcterms:W3CDTF">2024-09-18T13:14:41Z</dcterms:modified>
</cp:coreProperties>
</file>