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14" activeTab="14"/>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<sst xmlns="http://schemas.openxmlformats.org/spreadsheetml/2006/main" count="5620" uniqueCount="888">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</sst>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C4" sqref="C4"/>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C4" sqref="C4"/>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C4" sqref="C4"/>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C4" sqref="C4"/>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C4" sqref="C4"/>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29" sqref="D29"/>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29" sqref="D29"/>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D29" sqref="D2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29" sqref="D2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29" sqref="D2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29" sqref="D2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29" sqref="D29"/>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tabSelected="1" workbookViewId="0">
      <selection activeCell="D34" sqref="D34"/>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55</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297580.15000000002</v>
      </c>
    </row>
    <row r="10" spans="1:5" x14ac:dyDescent="0.2">
      <c r="B10" s="98">
        <v>33</v>
      </c>
      <c r="C10" s="102" t="s">
        <v>221</v>
      </c>
      <c r="D10" s="98" t="s">
        <v>94</v>
      </c>
      <c r="E10" s="99">
        <f>HLOOKUP($B$6,'4.1 Comptes 2023 natures'!$E$4:$BC$174,25,0)</f>
        <v>271969.69</v>
      </c>
    </row>
    <row r="11" spans="1:5" x14ac:dyDescent="0.2">
      <c r="B11" s="98">
        <v>35</v>
      </c>
      <c r="C11" s="102" t="s">
        <v>221</v>
      </c>
      <c r="D11" s="98" t="s">
        <v>223</v>
      </c>
      <c r="E11" s="99">
        <f>HLOOKUP($B$6,'4.1 Comptes 2023 natures'!$E$4:$BC$174,37,0)</f>
        <v>9169.5499999999993</v>
      </c>
    </row>
    <row r="12" spans="1:5" x14ac:dyDescent="0.2">
      <c r="B12" s="98">
        <v>45</v>
      </c>
      <c r="C12" s="102" t="s">
        <v>222</v>
      </c>
      <c r="D12" s="98" t="s">
        <v>170</v>
      </c>
      <c r="E12" s="99">
        <f>HLOOKUP($B$6,'4.1 Comptes 2023 natures'!$E$4:$BC$174,115,0)</f>
        <v>12959.55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7905.29</v>
      </c>
    </row>
    <row r="16" spans="1:5" x14ac:dyDescent="0.2">
      <c r="B16" s="98">
        <v>389</v>
      </c>
      <c r="C16" s="102" t="s">
        <v>221</v>
      </c>
      <c r="D16" s="98" t="s">
        <v>224</v>
      </c>
      <c r="E16" s="99">
        <f>HLOOKUP($B$6,'4.1 Comptes 2023 natures'!$E$4:$BC$174,60,0)</f>
        <v>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7472.87</v>
      </c>
    </row>
    <row r="19" spans="2:5" x14ac:dyDescent="0.2">
      <c r="B19" s="98"/>
      <c r="C19" s="102"/>
      <c r="D19" s="98"/>
      <c r="E19" s="99"/>
    </row>
    <row r="20" spans="2:5" ht="15" x14ac:dyDescent="0.25">
      <c r="B20" s="103"/>
      <c r="C20" s="103"/>
      <c r="D20" s="100" t="s">
        <v>225</v>
      </c>
      <c r="E20" s="101">
        <f>E9+E10+E11-E12+E13+E14+E15+E16-E17-E18</f>
        <v>566192.26000000013</v>
      </c>
    </row>
    <row r="21" spans="2:5" x14ac:dyDescent="0.2">
      <c r="B21" s="98"/>
      <c r="C21" s="98"/>
      <c r="D21" s="98"/>
      <c r="E21" s="99"/>
    </row>
    <row r="22" spans="2:5" x14ac:dyDescent="0.2">
      <c r="B22" s="98" t="s">
        <v>220</v>
      </c>
      <c r="C22" s="104" t="s">
        <v>222</v>
      </c>
      <c r="D22" s="98" t="s">
        <v>226</v>
      </c>
      <c r="E22" s="105">
        <f>HLOOKUP($B$6,'6.1 Investissements'!$E$4:$BG$183,180,0)</f>
        <v>1508805.74</v>
      </c>
    </row>
    <row r="23" spans="2:5" x14ac:dyDescent="0.2">
      <c r="B23" s="98"/>
      <c r="C23" s="98"/>
      <c r="D23" s="98"/>
      <c r="E23" s="99"/>
    </row>
    <row r="24" spans="2:5" ht="15" x14ac:dyDescent="0.25">
      <c r="B24" s="103"/>
      <c r="C24" s="103"/>
      <c r="D24" s="100" t="s">
        <v>227</v>
      </c>
      <c r="E24" s="101">
        <f>E20-E22</f>
        <v>-942613.47999999986</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D29" sqref="D29"/>
      <selection pane="topRight" activeCell="D29" sqref="D29"/>
      <selection pane="bottomLeft" activeCell="D29" sqref="D29"/>
      <selection pane="bottomRight" activeCell="D29" sqref="D29"/>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29" sqref="D29"/>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D29" sqref="D29"/>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C4" sqref="C4"/>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C4" sqref="C4"/>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C4" sqref="C4"/>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C4" sqref="C4"/>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C4" sqref="C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C4" sqref="C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C4" sqref="C4"/>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C4" sqref="C4"/>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C4" sqref="C4"/>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4" sqref="C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C4" sqref="C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4" sqref="C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C4" sqref="C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C4" sqref="C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C4" sqref="C4"/>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4" sqref="C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C4" sqref="C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C4" sqref="C4"/>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4" sqref="C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C4" sqref="C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C4" sqref="C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C4" sqref="C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C4" sqref="C4"/>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C4" sqref="C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2024-09-18T08:13:42Z</dcterms:modified>
</cp:coreProperties>
</file>