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8" activeTab="8"/>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<sst xmlns="http://schemas.openxmlformats.org/spreadsheetml/2006/main" count="5620" uniqueCount="888">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</sst>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tabSelected="1" workbookViewId="0">
      <selection activeCell="F5" sqref="F5"/>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55</v>
      </c>
    </row>
    <row r="6" spans="1:5" ht="15" x14ac:dyDescent="0.25">
      <c r="E6" s="30" t="s">
        <v>198</v>
      </c>
    </row>
    <row r="7" spans="1:5" ht="20.25" x14ac:dyDescent="0.3">
      <c r="A7" s="11">
        <v>3</v>
      </c>
      <c r="B7" s="11"/>
      <c r="C7" s="11"/>
      <c r="D7" s="11" t="s">
        <v>59</v>
      </c>
      <c r="E7" s="203">
        <f>HLOOKUP($D$4,'4.9 Comptes 2023 par habitant'!$E$4:$BC$159,2,0)</f>
        <v>4033.2316857440169</v>
      </c>
    </row>
    <row r="8" spans="1:5" ht="15" x14ac:dyDescent="0.25">
      <c r="A8" s="75"/>
      <c r="B8" s="75">
        <v>30</v>
      </c>
      <c r="C8" s="75"/>
      <c r="D8" s="75" t="s">
        <v>60</v>
      </c>
      <c r="E8" s="199">
        <f>SUM(E9:E16)</f>
        <v>501.75593132154</v>
      </c>
    </row>
    <row r="9" spans="1:5" x14ac:dyDescent="0.2">
      <c r="C9" s="8">
        <v>300</v>
      </c>
      <c r="D9" s="8" t="s">
        <v>77</v>
      </c>
      <c r="E9" s="135">
        <f>HLOOKUP($D$4,'4.9 Comptes 2023 par habitant'!$E$4:$BC$159,4,0)</f>
        <v>43.858844953173772</v>
      </c>
    </row>
    <row r="10" spans="1:5" x14ac:dyDescent="0.2">
      <c r="C10" s="8">
        <v>301</v>
      </c>
      <c r="D10" s="8" t="s">
        <v>78</v>
      </c>
      <c r="E10" s="135">
        <f>HLOOKUP($D$4,'4.9 Comptes 2023 par habitant'!$E$4:$BC$159,5,0)</f>
        <v>383.91992715920912</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69.665452653485957</v>
      </c>
    </row>
    <row r="15" spans="1:5" x14ac:dyDescent="0.2">
      <c r="C15" s="8">
        <v>306</v>
      </c>
      <c r="D15" s="8" t="s">
        <v>82</v>
      </c>
      <c r="E15" s="135">
        <f>HLOOKUP($D$4,'4.9 Comptes 2023 par habitant'!$E$4:$BC$159,10,0)</f>
        <v>0</v>
      </c>
    </row>
    <row r="16" spans="1:5" x14ac:dyDescent="0.2">
      <c r="C16" s="8">
        <v>309</v>
      </c>
      <c r="D16" s="8" t="s">
        <v>83</v>
      </c>
      <c r="E16" s="135">
        <f>HLOOKUP($D$4,'4.9 Comptes 2023 par habitant'!$E$4:$BC$159,11,0)</f>
        <v>4.3117065556711758</v>
      </c>
    </row>
    <row r="17" spans="2:5" x14ac:dyDescent="0.2">
      <c r="E17" s="19"/>
    </row>
    <row r="18" spans="2:5" ht="15" x14ac:dyDescent="0.25">
      <c r="B18" s="75">
        <v>31</v>
      </c>
      <c r="C18" s="75"/>
      <c r="D18" s="75" t="s">
        <v>84</v>
      </c>
      <c r="E18" s="199">
        <f>SUM(E19:E28)</f>
        <v>621.6181581685745</v>
      </c>
    </row>
    <row r="19" spans="2:5" x14ac:dyDescent="0.2">
      <c r="C19" s="8">
        <v>310</v>
      </c>
      <c r="D19" s="8" t="s">
        <v>85</v>
      </c>
      <c r="E19" s="135">
        <f>HLOOKUP($D$4,'4.9 Comptes 2023 par habitant'!$E$4:$BC$159,14,0)</f>
        <v>62.811207075962535</v>
      </c>
    </row>
    <row r="20" spans="2:5" x14ac:dyDescent="0.2">
      <c r="C20" s="8">
        <v>311</v>
      </c>
      <c r="D20" s="8" t="s">
        <v>446</v>
      </c>
      <c r="E20" s="135">
        <f>HLOOKUP($D$4,'4.9 Comptes 2023 par habitant'!$E$4:$BC$159,15,0)</f>
        <v>46.217325702393339</v>
      </c>
    </row>
    <row r="21" spans="2:5" x14ac:dyDescent="0.2">
      <c r="C21" s="8">
        <v>312</v>
      </c>
      <c r="D21" s="8" t="s">
        <v>87</v>
      </c>
      <c r="E21" s="135">
        <f>HLOOKUP($D$4,'4.9 Comptes 2023 par habitant'!$E$4:$BC$159,16,0)</f>
        <v>94.173517169614982</v>
      </c>
    </row>
    <row r="22" spans="2:5" x14ac:dyDescent="0.2">
      <c r="C22" s="8">
        <v>313</v>
      </c>
      <c r="D22" s="8" t="s">
        <v>88</v>
      </c>
      <c r="E22" s="135">
        <f>HLOOKUP($D$4,'4.9 Comptes 2023 par habitant'!$E$4:$BC$159,17,0)</f>
        <v>174.47576482830385</v>
      </c>
    </row>
    <row r="23" spans="2:5" x14ac:dyDescent="0.2">
      <c r="C23" s="8">
        <v>314</v>
      </c>
      <c r="D23" s="8" t="s">
        <v>814</v>
      </c>
      <c r="E23" s="135">
        <f>HLOOKUP($D$4,'4.9 Comptes 2023 par habitant'!$E$4:$BC$159,18,0)</f>
        <v>137.3302289281998</v>
      </c>
    </row>
    <row r="24" spans="2:5" x14ac:dyDescent="0.2">
      <c r="C24" s="8">
        <v>315</v>
      </c>
      <c r="D24" s="8" t="s">
        <v>89</v>
      </c>
      <c r="E24" s="135">
        <f>HLOOKUP($D$4,'4.9 Comptes 2023 par habitant'!$E$4:$BC$159,19,0)</f>
        <v>57.697762747138398</v>
      </c>
    </row>
    <row r="25" spans="2:5" x14ac:dyDescent="0.2">
      <c r="C25" s="8">
        <v>316</v>
      </c>
      <c r="D25" s="8" t="s">
        <v>90</v>
      </c>
      <c r="E25" s="135">
        <f>HLOOKUP($D$4,'4.9 Comptes 2023 par habitant'!$E$4:$BC$159,20,0)</f>
        <v>4.0345473465140476</v>
      </c>
    </row>
    <row r="26" spans="2:5" x14ac:dyDescent="0.2">
      <c r="C26" s="8">
        <v>317</v>
      </c>
      <c r="D26" s="8" t="s">
        <v>91</v>
      </c>
      <c r="E26" s="135">
        <f>HLOOKUP($D$4,'4.9 Comptes 2023 par habitant'!$E$4:$BC$159,21,0)</f>
        <v>20.847346514047867</v>
      </c>
    </row>
    <row r="27" spans="2:5" x14ac:dyDescent="0.2">
      <c r="C27" s="8">
        <v>318</v>
      </c>
      <c r="D27" s="8" t="s">
        <v>92</v>
      </c>
      <c r="E27" s="135">
        <f>HLOOKUP($D$4,'4.9 Comptes 2023 par habitant'!$E$4:$BC$159,22,0)</f>
        <v>22.543985431841833</v>
      </c>
    </row>
    <row r="28" spans="2:5" x14ac:dyDescent="0.2">
      <c r="C28" s="8">
        <v>319</v>
      </c>
      <c r="D28" s="8" t="s">
        <v>93</v>
      </c>
      <c r="E28" s="135">
        <f>HLOOKUP($D$4,'4.9 Comptes 2023 par habitant'!$E$4:$BC$159,23,0)</f>
        <v>1.4864724245577523</v>
      </c>
    </row>
    <row r="29" spans="2:5" x14ac:dyDescent="0.2">
      <c r="E29" s="19"/>
    </row>
    <row r="30" spans="2:5" ht="15" x14ac:dyDescent="0.25">
      <c r="B30" s="75">
        <v>33</v>
      </c>
      <c r="C30" s="75"/>
      <c r="D30" s="75" t="s">
        <v>94</v>
      </c>
      <c r="E30" s="199">
        <f>SUM(E31:E32)</f>
        <v>283.00696149843913</v>
      </c>
    </row>
    <row r="31" spans="2:5" x14ac:dyDescent="0.2">
      <c r="C31" s="8">
        <v>330</v>
      </c>
      <c r="D31" s="8" t="s">
        <v>96</v>
      </c>
      <c r="E31" s="135">
        <f>HLOOKUP($D$4,'4.9 Comptes 2023 par habitant'!$E$4:$BC$159,26,0)</f>
        <v>283.00696149843913</v>
      </c>
    </row>
    <row r="32" spans="2:5" x14ac:dyDescent="0.2">
      <c r="C32" s="8">
        <v>332</v>
      </c>
      <c r="D32" s="8" t="s">
        <v>95</v>
      </c>
      <c r="E32" s="135">
        <f>HLOOKUP($D$4,'4.9 Comptes 2023 par habitant'!$E$4:$BC$159,27,0)</f>
        <v>0</v>
      </c>
    </row>
    <row r="33" spans="2:5" x14ac:dyDescent="0.2">
      <c r="E33" s="19"/>
    </row>
    <row r="34" spans="2:5" ht="15" x14ac:dyDescent="0.25">
      <c r="B34" s="75">
        <v>34</v>
      </c>
      <c r="C34" s="75"/>
      <c r="D34" s="75" t="s">
        <v>97</v>
      </c>
      <c r="E34" s="199">
        <f>SUM(E35:E40)</f>
        <v>163.00223725286159</v>
      </c>
    </row>
    <row r="35" spans="2:5" x14ac:dyDescent="0.2">
      <c r="C35" s="8">
        <v>340</v>
      </c>
      <c r="D35" s="8" t="s">
        <v>98</v>
      </c>
      <c r="E35" s="135">
        <f>HLOOKUP($D$4,'4.9 Comptes 2023 par habitant'!$E$4:$BC$159,30,0)</f>
        <v>163.00223725286159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0</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9.5416753381893855</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9.5416753381893855</v>
      </c>
    </row>
    <row r="45" spans="2:5" x14ac:dyDescent="0.2">
      <c r="E45" s="19"/>
    </row>
    <row r="46" spans="2:5" ht="15" x14ac:dyDescent="0.25">
      <c r="B46" s="75">
        <v>36</v>
      </c>
      <c r="C46" s="75"/>
      <c r="D46" s="75" t="s">
        <v>106</v>
      </c>
      <c r="E46" s="199">
        <f>SUM(E47:E54)</f>
        <v>2440.7526118626433</v>
      </c>
    </row>
    <row r="47" spans="2:5" x14ac:dyDescent="0.2">
      <c r="C47" s="8">
        <v>360</v>
      </c>
      <c r="D47" s="8" t="s">
        <v>107</v>
      </c>
      <c r="E47" s="135">
        <f>HLOOKUP($D$4,'4.9 Comptes 2023 par habitant'!$E$4:$BC$159,42,0)</f>
        <v>5.9623309053069722</v>
      </c>
    </row>
    <row r="48" spans="2:5" x14ac:dyDescent="0.2">
      <c r="C48" s="8">
        <v>361</v>
      </c>
      <c r="D48" s="8" t="s">
        <v>108</v>
      </c>
      <c r="E48" s="135">
        <f>HLOOKUP($D$4,'4.9 Comptes 2023 par habitant'!$E$4:$BC$159,43,0)</f>
        <v>1862.6766077003122</v>
      </c>
    </row>
    <row r="49" spans="2:5" x14ac:dyDescent="0.2">
      <c r="C49" s="8">
        <v>362</v>
      </c>
      <c r="D49" s="8" t="s">
        <v>109</v>
      </c>
      <c r="E49" s="135">
        <f>HLOOKUP($D$4,'4.9 Comptes 2023 par habitant'!$E$4:$BC$159,44,0)</f>
        <v>0</v>
      </c>
    </row>
    <row r="50" spans="2:5" x14ac:dyDescent="0.2">
      <c r="C50" s="8">
        <v>363</v>
      </c>
      <c r="D50" s="8" t="s">
        <v>110</v>
      </c>
      <c r="E50" s="135">
        <f>HLOOKUP($D$4,'4.9 Comptes 2023 par habitant'!$E$4:$BC$159,45,0)</f>
        <v>563.88756503642037</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8.2261082206035372</v>
      </c>
    </row>
    <row r="54" spans="2:5" x14ac:dyDescent="0.2">
      <c r="C54" s="8">
        <v>369</v>
      </c>
      <c r="D54" s="8" t="s">
        <v>114</v>
      </c>
      <c r="E54" s="135">
        <f>HLOOKUP($D$4,'4.9 Comptes 2023 par habitant'!$E$4:$BC$159,49,0)</f>
        <v>0</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13.55411030176899</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13.55411030176899</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0</v>
      </c>
    </row>
    <row r="68" spans="1:5" x14ac:dyDescent="0.2">
      <c r="C68" s="8">
        <v>390</v>
      </c>
      <c r="D68" s="8" t="s">
        <v>125</v>
      </c>
      <c r="E68" s="135">
        <f>HLOOKUP($D$4,'4.9 Comptes 2023 par habitant'!$E$4:$BC$159,63,0)</f>
        <v>0</v>
      </c>
    </row>
    <row r="69" spans="1:5" x14ac:dyDescent="0.2">
      <c r="C69" s="8">
        <v>391</v>
      </c>
      <c r="D69" s="8" t="s">
        <v>126</v>
      </c>
      <c r="E69" s="135">
        <f>HLOOKUP($D$4,'4.9 Comptes 2023 par habitant'!$E$4:$BC$159,64,0)</f>
        <v>0</v>
      </c>
    </row>
    <row r="70" spans="1:5" x14ac:dyDescent="0.2">
      <c r="C70" s="8">
        <v>392</v>
      </c>
      <c r="D70" s="8" t="s">
        <v>127</v>
      </c>
      <c r="E70" s="135">
        <f>HLOOKUP($D$4,'4.9 Comptes 2023 par habitant'!$E$4:$BC$159,65,0)</f>
        <v>0</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0</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0</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4342.888449531737</v>
      </c>
    </row>
    <row r="79" spans="1:5" ht="15" x14ac:dyDescent="0.25">
      <c r="A79" s="7"/>
      <c r="B79" s="77">
        <v>40</v>
      </c>
      <c r="C79" s="77"/>
      <c r="D79" s="77" t="s">
        <v>76</v>
      </c>
      <c r="E79" s="205">
        <f>SUM(E80:E83)</f>
        <v>2996.8895525494277</v>
      </c>
    </row>
    <row r="80" spans="1:5" x14ac:dyDescent="0.2">
      <c r="C80" s="8">
        <v>400</v>
      </c>
      <c r="D80" s="8" t="s">
        <v>134</v>
      </c>
      <c r="E80" s="135">
        <f>HLOOKUP($D$4,'4.9 Comptes 2023 par habitant'!$E$4:$BC$159,75,0)</f>
        <v>2587.5417793964621</v>
      </c>
    </row>
    <row r="81" spans="2:5" x14ac:dyDescent="0.2">
      <c r="C81" s="8">
        <v>401</v>
      </c>
      <c r="D81" s="8" t="s">
        <v>135</v>
      </c>
      <c r="E81" s="135">
        <f>HLOOKUP($D$4,'4.9 Comptes 2023 par habitant'!$E$4:$BC$159,76,0)</f>
        <v>174.6616129032258</v>
      </c>
    </row>
    <row r="82" spans="2:5" x14ac:dyDescent="0.2">
      <c r="C82" s="8">
        <v>402</v>
      </c>
      <c r="D82" s="8" t="s">
        <v>136</v>
      </c>
      <c r="E82" s="135">
        <f>HLOOKUP($D$4,'4.9 Comptes 2023 par habitant'!$E$4:$BC$159,77,0)</f>
        <v>221.4586368366285</v>
      </c>
    </row>
    <row r="83" spans="2:5" x14ac:dyDescent="0.2">
      <c r="C83" s="8">
        <v>403</v>
      </c>
      <c r="D83" s="8" t="s">
        <v>137</v>
      </c>
      <c r="E83" s="135">
        <f>HLOOKUP($D$4,'4.9 Comptes 2023 par habitant'!$E$4:$BC$159,78,0)</f>
        <v>13.227523413111342</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755.95776274713842</v>
      </c>
    </row>
    <row r="92" spans="2:5" x14ac:dyDescent="0.2">
      <c r="C92" s="8">
        <v>420</v>
      </c>
      <c r="D92" s="8" t="s">
        <v>144</v>
      </c>
      <c r="E92" s="135">
        <f>HLOOKUP($D$4,'4.9 Comptes 2023 par habitant'!$E$4:$BC$159,87,0)</f>
        <v>39.109625390218518</v>
      </c>
    </row>
    <row r="93" spans="2:5" x14ac:dyDescent="0.2">
      <c r="C93" s="8">
        <v>421</v>
      </c>
      <c r="D93" s="8" t="s">
        <v>145</v>
      </c>
      <c r="E93" s="135">
        <f>HLOOKUP($D$4,'4.9 Comptes 2023 par habitant'!$E$4:$BC$159,88,0)</f>
        <v>13.103465140478669</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1.4151925078043703</v>
      </c>
    </row>
    <row r="96" spans="2:5" x14ac:dyDescent="0.2">
      <c r="C96" s="8">
        <v>424</v>
      </c>
      <c r="D96" s="8" t="s">
        <v>148</v>
      </c>
      <c r="E96" s="135">
        <f>HLOOKUP($D$4,'4.9 Comptes 2023 par habitant'!$E$4:$BC$159,91,0)</f>
        <v>651.90138397502596</v>
      </c>
    </row>
    <row r="97" spans="2:5" x14ac:dyDescent="0.2">
      <c r="C97" s="8">
        <v>425</v>
      </c>
      <c r="D97" s="8" t="s">
        <v>149</v>
      </c>
      <c r="E97" s="135">
        <f>HLOOKUP($D$4,'4.9 Comptes 2023 par habitant'!$E$4:$BC$159,92,0)</f>
        <v>9.3879292403746089</v>
      </c>
    </row>
    <row r="98" spans="2:5" x14ac:dyDescent="0.2">
      <c r="C98" s="8">
        <v>426</v>
      </c>
      <c r="D98" s="8" t="s">
        <v>150</v>
      </c>
      <c r="E98" s="135">
        <f>HLOOKUP($D$4,'4.9 Comptes 2023 par habitant'!$E$4:$BC$159,93,0)</f>
        <v>40.727991675338188</v>
      </c>
    </row>
    <row r="99" spans="2:5" x14ac:dyDescent="0.2">
      <c r="C99" s="8">
        <v>427</v>
      </c>
      <c r="D99" s="8" t="s">
        <v>151</v>
      </c>
      <c r="E99" s="135">
        <f>HLOOKUP($D$4,'4.9 Comptes 2023 par habitant'!$E$4:$BC$159,94,0)</f>
        <v>0.31217481789802287</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0</v>
      </c>
    </row>
    <row r="103" spans="2:5" x14ac:dyDescent="0.2">
      <c r="C103" s="8">
        <v>430</v>
      </c>
      <c r="D103" s="8" t="s">
        <v>154</v>
      </c>
      <c r="E103" s="135">
        <f>HLOOKUP($D$4,'4.9 Comptes 2023 par habitant'!$E$4:$BC$159,98,0)</f>
        <v>0</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70.176389177939654</v>
      </c>
    </row>
    <row r="109" spans="2:5" x14ac:dyDescent="0.2">
      <c r="C109" s="8">
        <v>440</v>
      </c>
      <c r="D109" s="8" t="s">
        <v>159</v>
      </c>
      <c r="E109" s="135">
        <f>HLOOKUP($D$4,'4.9 Comptes 2023 par habitant'!$E$4:$BC$159,104,0)</f>
        <v>43.277845993756507</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1.1989594172736733</v>
      </c>
    </row>
    <row r="112" spans="2:5" x14ac:dyDescent="0.2">
      <c r="C112" s="8">
        <v>443</v>
      </c>
      <c r="D112" s="8" t="s">
        <v>162</v>
      </c>
      <c r="E112" s="135">
        <f>HLOOKUP($D$4,'4.9 Comptes 2023 par habitant'!$E$4:$BC$159,107,0)</f>
        <v>24.673777315296565</v>
      </c>
    </row>
    <row r="113" spans="2:5" x14ac:dyDescent="0.2">
      <c r="C113" s="8">
        <v>444</v>
      </c>
      <c r="D113" s="8" t="s">
        <v>102</v>
      </c>
      <c r="E113" s="135">
        <f>HLOOKUP($D$4,'4.9 Comptes 2023 par habitant'!$E$4:$BC$159,108,0)</f>
        <v>0</v>
      </c>
    </row>
    <row r="114" spans="2:5" x14ac:dyDescent="0.2">
      <c r="C114" s="8">
        <v>445</v>
      </c>
      <c r="D114" s="8" t="s">
        <v>163</v>
      </c>
      <c r="E114" s="135">
        <f>HLOOKUP($D$4,'4.9 Comptes 2023 par habitant'!$E$4:$BC$159,109,0)</f>
        <v>0</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1.0258064516129031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13.485483870967741</v>
      </c>
    </row>
    <row r="121" spans="2:5" x14ac:dyDescent="0.2">
      <c r="C121" s="8">
        <v>450</v>
      </c>
      <c r="D121" s="8" t="s">
        <v>168</v>
      </c>
      <c r="E121" s="135">
        <f>HLOOKUP($D$4,'4.9 Comptes 2023 par habitant'!$E$4:$BC$159,116,0)</f>
        <v>5.629032258064516</v>
      </c>
    </row>
    <row r="122" spans="2:5" x14ac:dyDescent="0.2">
      <c r="C122" s="8">
        <v>451</v>
      </c>
      <c r="D122" s="8" t="s">
        <v>169</v>
      </c>
      <c r="E122" s="135">
        <f>HLOOKUP($D$4,'4.9 Comptes 2023 par habitant'!$E$4:$BC$159,117,0)</f>
        <v>7.8564516129032258</v>
      </c>
    </row>
    <row r="123" spans="2:5" x14ac:dyDescent="0.2">
      <c r="E123" s="19"/>
    </row>
    <row r="124" spans="2:5" ht="15" x14ac:dyDescent="0.25">
      <c r="B124" s="77">
        <v>46</v>
      </c>
      <c r="C124" s="77"/>
      <c r="D124" s="77" t="s">
        <v>171</v>
      </c>
      <c r="E124" s="205">
        <f>SUM(E125:E129)</f>
        <v>498.60312174817903</v>
      </c>
    </row>
    <row r="125" spans="2:5" x14ac:dyDescent="0.2">
      <c r="C125" s="8">
        <v>460</v>
      </c>
      <c r="D125" s="8" t="s">
        <v>172</v>
      </c>
      <c r="E125" s="135">
        <f>HLOOKUP($D$4,'4.9 Comptes 2023 par habitant'!$E$4:$BC$159,120,0)</f>
        <v>9.2049947970863677</v>
      </c>
    </row>
    <row r="126" spans="2:5" x14ac:dyDescent="0.2">
      <c r="C126" s="8">
        <v>461</v>
      </c>
      <c r="D126" s="8" t="s">
        <v>173</v>
      </c>
      <c r="E126" s="135">
        <f>HLOOKUP($D$4,'4.9 Comptes 2023 par habitant'!$E$4:$BC$159,121,0)</f>
        <v>360.59469302809572</v>
      </c>
    </row>
    <row r="127" spans="2:5" x14ac:dyDescent="0.2">
      <c r="C127" s="8">
        <v>462</v>
      </c>
      <c r="D127" s="8" t="s">
        <v>109</v>
      </c>
      <c r="E127" s="135">
        <f>HLOOKUP($D$4,'4.9 Comptes 2023 par habitant'!$E$4:$BC$159,122,0)</f>
        <v>21.947970863683661</v>
      </c>
    </row>
    <row r="128" spans="2:5" x14ac:dyDescent="0.2">
      <c r="C128" s="8">
        <v>463</v>
      </c>
      <c r="D128" s="8" t="s">
        <v>174</v>
      </c>
      <c r="E128" s="135">
        <f>HLOOKUP($D$4,'4.9 Comptes 2023 par habitant'!$E$4:$BC$159,123,0)</f>
        <v>106.59214360041624</v>
      </c>
    </row>
    <row r="129" spans="2:5" x14ac:dyDescent="0.2">
      <c r="C129" s="8">
        <v>469</v>
      </c>
      <c r="D129" s="8" t="s">
        <v>175</v>
      </c>
      <c r="E129" s="135">
        <f>HLOOKUP($D$4,'4.9 Comptes 2023 par habitant'!$E$4:$BC$159,124,0)</f>
        <v>0.26331945889698233</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7.7761394380853277</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7.7761394380853277</v>
      </c>
    </row>
    <row r="142" spans="2:5" x14ac:dyDescent="0.2">
      <c r="E142" s="19"/>
    </row>
    <row r="143" spans="2:5" ht="15" x14ac:dyDescent="0.25">
      <c r="B143" s="77">
        <v>49</v>
      </c>
      <c r="C143" s="77"/>
      <c r="D143" s="77" t="s">
        <v>124</v>
      </c>
      <c r="E143" s="205">
        <f>SUM(E144:E151)</f>
        <v>0</v>
      </c>
    </row>
    <row r="144" spans="2:5" x14ac:dyDescent="0.2">
      <c r="C144" s="8">
        <v>490</v>
      </c>
      <c r="D144" s="8" t="s">
        <v>125</v>
      </c>
      <c r="E144" s="135">
        <f>HLOOKUP($D$4,'4.9 Comptes 2023 par habitant'!$E$4:$BC$159,139,0)</f>
        <v>0</v>
      </c>
    </row>
    <row r="145" spans="1:5" x14ac:dyDescent="0.2">
      <c r="C145" s="8">
        <v>491</v>
      </c>
      <c r="D145" s="8" t="s">
        <v>126</v>
      </c>
      <c r="E145" s="135">
        <f>HLOOKUP($D$4,'4.9 Comptes 2023 par habitant'!$E$4:$BC$159,140,0)</f>
        <v>0</v>
      </c>
    </row>
    <row r="146" spans="1:5" x14ac:dyDescent="0.2">
      <c r="C146" s="8">
        <v>492</v>
      </c>
      <c r="D146" s="8" t="s">
        <v>185</v>
      </c>
      <c r="E146" s="135">
        <f>HLOOKUP($D$4,'4.9 Comptes 2023 par habitant'!$E$4:$BC$159,141,0)</f>
        <v>0</v>
      </c>
    </row>
    <row r="147" spans="1:5" x14ac:dyDescent="0.2">
      <c r="C147" s="8">
        <v>493</v>
      </c>
      <c r="D147" s="8" t="s">
        <v>186</v>
      </c>
      <c r="E147" s="135">
        <f>HLOOKUP($D$4,'4.9 Comptes 2023 par habitant'!$E$4:$BC$159,142,0)</f>
        <v>0</v>
      </c>
    </row>
    <row r="148" spans="1:5" x14ac:dyDescent="0.2">
      <c r="C148" s="8">
        <v>494</v>
      </c>
      <c r="D148" s="8" t="s">
        <v>129</v>
      </c>
      <c r="E148" s="135">
        <f>HLOOKUP($D$4,'4.9 Comptes 2023 par habitant'!$E$4:$BC$159,143,0)</f>
        <v>0</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0</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309.65676378772116</v>
      </c>
    </row>
    <row r="157" spans="1:5" x14ac:dyDescent="0.2">
      <c r="C157" s="8">
        <v>900</v>
      </c>
      <c r="D157" s="8" t="s">
        <v>192</v>
      </c>
      <c r="E157" s="135">
        <f>HLOOKUP($D$4,'4.9 Comptes 2023 par habitant'!$E$4:$BC$159,152,0)</f>
        <v>24.12057232049948</v>
      </c>
    </row>
    <row r="158" spans="1:5" x14ac:dyDescent="0.2">
      <c r="C158" s="8">
        <v>901</v>
      </c>
      <c r="D158" s="8" t="s">
        <v>193</v>
      </c>
      <c r="E158" s="135">
        <f>HLOOKUP($D$4,'4.9 Comptes 2023 par habitant'!$E$4:$BC$159,153,0)</f>
        <v>285.53619146722167</v>
      </c>
    </row>
    <row r="159" spans="1:5" x14ac:dyDescent="0.2">
      <c r="E159" s="13"/>
    </row>
    <row r="160" spans="1:5" ht="15" x14ac:dyDescent="0.25">
      <c r="D160" s="7" t="s">
        <v>194</v>
      </c>
      <c r="E160" s="95">
        <f>HLOOKUP($D$4,'4.9 Comptes 2023 par habitant'!$E$4:$BC$159,155,0)</f>
        <v>309.65676378772116</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E9" sqref="E9"/>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E9" sqref="E9"/>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E9" sqref="E9"/>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E9" sqref="E9"/>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E9" sqref="E9"/>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E9" sqref="E9"/>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E9" sqref="E9"/>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E9" sqref="E9"/>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E9" sqref="E9"/>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E9" sqref="E9"/>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E9" sqref="E9"/>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E9" sqref="E9"/>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E9" sqref="E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2024-09-18T11:50:39Z</dcterms:modified>
</cp:coreProperties>
</file>