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45" activeTab="47"/>
  </bookViews>
  <sheets>
    <sheet name="Sommaire" sheetId="47" r:id="rId1"/>
    <sheet name="Base de données pop." sheetId="13" r:id="rId2"/>
    <sheet name="Population" sheetId="1" r:id="rId3"/>
    <sheet name="4.1 Comptes 2023 natures" sheetId="23" r:id="rId4"/>
    <sheet name="Graphique par nature" sheetId="80" r:id="rId5"/>
    <sheet name="Résultats par commune" sheetId="79" r:id="rId6"/>
    <sheet name="4.9 Comptes 2023 par habitant" sheetId="29" r:id="rId7"/>
    <sheet name="4.2 Comptes 2023 par commune" sheetId="48" r:id="rId8"/>
    <sheet name="4.10 Comptes 2023 Hab. par com" sheetId="49" r:id="rId9"/>
    <sheet name="4.5 Vue d'ensemble" sheetId="26" r:id="rId10"/>
    <sheet name="4.6 Vue par commune" sheetId="44" r:id="rId11"/>
    <sheet name="4.3 Résultats à 3 niveaux" sheetId="25" r:id="rId12"/>
    <sheet name="4.4 Résultats à 3 par commune" sheetId="45" r:id="rId13"/>
    <sheet name="4.7 Autofinancement" sheetId="27" r:id="rId14"/>
    <sheet name="4.8 Autofinancement par commune" sheetId="46" r:id="rId15"/>
    <sheet name="4.11 Comptes 2023 fonctionnelle" sheetId="22" r:id="rId16"/>
    <sheet name="4.12 Fonctionnelle par commune" sheetId="50" r:id="rId17"/>
    <sheet name="Tableau fonctionnelle" sheetId="30" r:id="rId18"/>
    <sheet name="4.12.1 et 2 Graph par fonction" sheetId="81" r:id="rId19"/>
    <sheet name="5. Bilan 2023" sheetId="24" r:id="rId20"/>
    <sheet name="5.3 Bilan par commune" sheetId="51" r:id="rId21"/>
    <sheet name="5.2 Tableau bilan" sheetId="31" r:id="rId22"/>
    <sheet name="5.1.2Graphique capitaux propres" sheetId="83" r:id="rId23"/>
    <sheet name="5.4 Tableau de l'endettement" sheetId="32" r:id="rId24"/>
    <sheet name="5.4.1Graphique de l'endettement" sheetId="82" r:id="rId25"/>
    <sheet name="5.4.2 évolution endettement" sheetId="84" r:id="rId26"/>
    <sheet name="5.5 Endettement par commune" sheetId="52" r:id="rId27"/>
    <sheet name="6.1 Investissements" sheetId="34" r:id="rId28"/>
    <sheet name="6.2 Investissements par commune" sheetId="53" r:id="rId29"/>
    <sheet name="7, Définition des indicateurs" sheetId="54" r:id="rId30"/>
    <sheet name="Base de données indicateurs1" sheetId="42" r:id="rId31"/>
    <sheet name="Endett. net + degré d'auto." sheetId="35" r:id="rId32"/>
    <sheet name="Quotité d'intéret + revenus det" sheetId="36" r:id="rId33"/>
    <sheet name="Quotité d'invest + fin." sheetId="37" r:id="rId34"/>
    <sheet name="Quotité d'autofinancement" sheetId="38" r:id="rId35"/>
    <sheet name="Quotient excédent du bilan" sheetId="39" r:id="rId36"/>
    <sheet name="Récapitulatif" sheetId="40" r:id="rId37"/>
    <sheet name="Indicateurs par commune" sheetId="43" r:id="rId38"/>
    <sheet name="Bourgeoisies Comptes 2023" sheetId="55" r:id="rId39"/>
    <sheet name="Comptes 2023 par Bourgeoisie" sheetId="56" r:id="rId40"/>
    <sheet name="Bourgeoisie vue d'ensemble" sheetId="57" r:id="rId41"/>
    <sheet name="Vue d'ensemble par Bourgeoisie" sheetId="58" r:id="rId42"/>
    <sheet name="Bourgeoisie résultats 3 niveaux" sheetId="59" r:id="rId43"/>
    <sheet name="Résultats 3 nivaux par Bourgeoi" sheetId="60" r:id="rId44"/>
    <sheet name="Bourgeoisie autofinancement" sheetId="61" r:id="rId45"/>
    <sheet name="Autofinancement par Bourgeoisie" sheetId="62" r:id="rId46"/>
    <sheet name="Bourgeoisie bilan" sheetId="63" r:id="rId47"/>
    <sheet name="Bilan par bourgeoisie" sheetId="64" r:id="rId48"/>
    <sheet name="Bourgeoisie endettement" sheetId="65" r:id="rId49"/>
    <sheet name="Endettement par bourgeoisie" sheetId="66" r:id="rId50"/>
    <sheet name="Bourgeoisie investissement" sheetId="67" r:id="rId51"/>
    <sheet name="Investissement par bourgeoisie" sheetId="68" r:id="rId52"/>
    <sheet name="Syndicats comptes 2023" sheetId="69" r:id="rId53"/>
    <sheet name="Comptes 2023 par Syndicats" sheetId="70" r:id="rId54"/>
    <sheet name="Syndicats vue d'ensemble" sheetId="71" r:id="rId55"/>
    <sheet name="Vue d'ensemble par syndicat" sheetId="72" r:id="rId56"/>
    <sheet name="Syndicats résultat à 3 niveaux" sheetId="73" r:id="rId57"/>
    <sheet name="Résultat 3 niveaux par syndicat" sheetId="74" r:id="rId58"/>
    <sheet name="Syndicats Bilan" sheetId="75" r:id="rId59"/>
    <sheet name="Bilan par Syndicats" sheetId="76" r:id="rId60"/>
    <sheet name="Syndicats endettement" sheetId="77" r:id="rId61"/>
    <sheet name="Endettement par syndicat" sheetId="78"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<sst xmlns="http://schemas.openxmlformats.org/spreadsheetml/2006/main" count="5620" uniqueCount="888">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</sst>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C53" sqref="C5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C32" sqref="C32"/>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29" activePane="bottomRight" state="frozen"/>
      <selection pane="topRight" activeCell="E1" sqref="E1"/>
      <selection pane="bottomLeft" activeCell="A4" sqref="A4"/>
      <selection pane="bottomRight" activeCell="BB2" sqref="BB2"/>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4" workbookViewId="0">
      <selection activeCell="Q53" sqref="Q5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C25" sqref="C25"/>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pane="topRight" activeCell="E1" sqref="E1"/>
      <selection pane="bottomLeft" activeCell="A4" sqref="A4"/>
      <selection pane="bottomRight" activeCell="E161" sqref="E161"/>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E9" sqref="E9"/>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4" sqref="D4"/>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E30" sqref="E30"/>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B6" sqref="B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C4" sqref="C4"/>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B6" sqref="B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E77" sqref="E77"/>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B6" sqref="B6:D6"/>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pane="topRight" activeCell="C1" sqref="C1"/>
      <selection pane="bottomLeft" activeCell="A4" sqref="A4"/>
      <selection pane="bottomRight" activeCell="C3" sqref="C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9" sqref="A9"/>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pane="topRight" activeCell="E1" sqref="E1"/>
      <selection pane="bottomLeft" activeCell="A4" sqref="A4"/>
      <selection pane="bottomRight" activeCell="BG218" sqref="BG218"/>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I39" sqref="I3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F3" sqref="F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D5" sqref="D5"/>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pane="topRight" activeCell="C1" sqref="C1"/>
      <selection pane="bottomLeft" activeCell="A7" sqref="A7"/>
      <selection pane="bottomRight" activeCell="AS6" sqref="AS6:AS25"/>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55" sqref="A55"/>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B3" sqref="B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B5" sqref="B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pane="topRight" activeCell="E1" sqref="E1"/>
      <selection pane="bottomLeft" activeCell="A4" sqref="A4"/>
      <selection pane="bottomRight" activeCell="BG3" sqref="BG3:BG18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E2" sqref="E2"/>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13" sqref="D1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pane="topRight" activeCell="E1" sqref="E1"/>
      <selection pane="bottomLeft" activeCell="A4" sqref="A4"/>
      <selection pane="bottomRight" activeCell="AS50" sqref="AS50"/>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pane="topRight" activeCell="E1" sqref="E1"/>
      <selection pane="bottomLeft" activeCell="A12" sqref="A12"/>
      <selection pane="bottomRight" activeCell="C23" sqref="C2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pane="topRight" activeCell="E1" sqref="E1"/>
      <selection pane="bottomLeft" activeCell="A6" sqref="A6"/>
      <selection pane="bottomRight" activeCell="D24" sqref="D24:D3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pane="topRight" activeCell="E1" sqref="E1"/>
      <selection pane="bottomLeft" activeCell="A12" sqref="A12"/>
      <selection pane="bottomRight" activeCell="E6" sqref="E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pane="topRight" activeCell="E1" sqref="E1"/>
      <selection pane="bottomLeft" activeCell="A12" sqref="A12"/>
      <selection pane="bottomRight" activeCell="BB10" sqref="BB10"/>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pane="topRight" activeCell="E1" sqref="E1"/>
      <selection pane="bottomLeft" activeCell="A12" sqref="A12"/>
      <selection pane="bottomRight" activeCell="AK18" sqref="AK18"/>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pane="topRight" activeCell="E1" sqref="E1"/>
      <selection pane="bottomLeft" activeCell="A11" sqref="A11"/>
      <selection pane="bottomRight" activeCell="D13" sqref="D13:D41"/>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C10" sqref="C10"/>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pane="topRight" activeCell="E1" sqref="E1"/>
      <selection pane="bottomLeft" activeCell="A4" sqref="A4"/>
      <selection pane="bottomRight" activeCell="R5" sqref="R5"/>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C7" sqref="C7"/>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B6" sqref="B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7" sqref="A7"/>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B6" sqref="B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C31" sqref="C31"/>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B6" sqref="B6:D6"/>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pane="topRight" activeCell="F1" sqref="F1"/>
      <selection pane="bottomLeft" activeCell="A4" sqref="A4"/>
      <selection pane="bottomRight" activeCell="K216" sqref="K216"/>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31"/>
  <sheetViews>
    <sheetView tabSelected="1" workbookViewId="0"/>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64</v>
      </c>
    </row>
    <row r="8" spans="1:6" ht="20.25" x14ac:dyDescent="0.3">
      <c r="A8" s="114">
        <v>1</v>
      </c>
      <c r="B8" s="114"/>
      <c r="C8" s="114"/>
      <c r="D8" s="114"/>
      <c r="E8" s="114" t="s">
        <v>235</v>
      </c>
      <c r="F8" s="128">
        <f>HLOOKUP($E$5,'Bourgeoisie bilan'!$F$4:$S$229,2,0)</f>
        <v>62241655.060000002</v>
      </c>
    </row>
    <row r="9" spans="1:6" ht="15" x14ac:dyDescent="0.25">
      <c r="A9" s="16"/>
      <c r="B9" s="116">
        <v>10</v>
      </c>
      <c r="C9" s="116"/>
      <c r="D9" s="116"/>
      <c r="E9" s="116" t="s">
        <v>236</v>
      </c>
      <c r="F9" s="117">
        <f>HLOOKUP($E$5,'Bourgeoisie bilan'!$F$4:$S$229,2,0)</f>
        <v>62241655.060000002</v>
      </c>
    </row>
    <row r="10" spans="1:6" ht="15" x14ac:dyDescent="0.25">
      <c r="A10" s="17"/>
      <c r="B10" s="17"/>
      <c r="C10" s="85">
        <v>100</v>
      </c>
      <c r="D10" s="85"/>
      <c r="E10" s="85" t="s">
        <v>237</v>
      </c>
      <c r="F10" s="107">
        <f>HLOOKUP($E$5,'Bourgeoisie bilan'!$F$4:$S$229,2,0)</f>
        <v>62241655.060000002</v>
      </c>
    </row>
    <row r="11" spans="1:6" x14ac:dyDescent="0.2">
      <c r="D11" s="8">
        <v>1000</v>
      </c>
      <c r="E11" s="8" t="s">
        <v>307</v>
      </c>
      <c r="F11" s="13">
        <f>HLOOKUP($E$5,'Bourgeoisie bilan'!$F$4:$S$229,5,0)</f>
        <v>10083.52</v>
      </c>
    </row>
    <row r="12" spans="1:6" x14ac:dyDescent="0.2">
      <c r="D12" s="8">
        <v>1001</v>
      </c>
      <c r="E12" s="8" t="s">
        <v>308</v>
      </c>
      <c r="F12" s="13">
        <f>HLOOKUP($E$5,'Bourgeoisie bilan'!$F$4:$S$229,6,0)</f>
        <v>478157.7</v>
      </c>
    </row>
    <row r="13" spans="1:6" x14ac:dyDescent="0.2">
      <c r="D13" s="8">
        <v>1002</v>
      </c>
      <c r="E13" s="8" t="s">
        <v>316</v>
      </c>
      <c r="F13" s="13">
        <f>HLOOKUP($E$5,'Bourgeoisie bilan'!$F$4:$S$229,7,0)</f>
        <v>5497149.4699999997</v>
      </c>
    </row>
    <row r="14" spans="1:6" x14ac:dyDescent="0.2">
      <c r="D14" s="8">
        <v>1003</v>
      </c>
      <c r="E14" s="8" t="s">
        <v>309</v>
      </c>
      <c r="F14" s="13">
        <f>HLOOKUP($E$5,'Bourgeoisie bilan'!$F$4:$S$229,8,0)</f>
        <v>76043.13</v>
      </c>
    </row>
    <row r="15" spans="1:6" x14ac:dyDescent="0.2">
      <c r="D15" s="8">
        <v>1004</v>
      </c>
      <c r="E15" s="8" t="s">
        <v>310</v>
      </c>
      <c r="F15" s="13">
        <f>HLOOKUP($E$5,'Bourgeoisie bilan'!$F$4:$S$229,9,0)</f>
        <v>4199.55</v>
      </c>
    </row>
    <row r="16" spans="1:6" x14ac:dyDescent="0.2">
      <c r="D16" s="8">
        <v>1009</v>
      </c>
      <c r="E16" s="8" t="s">
        <v>311</v>
      </c>
      <c r="F16" s="13">
        <f>HLOOKUP($E$5,'Bourgeoisie bilan'!$F$4:$S$229,10,0)</f>
        <v>9109.0400000000009</v>
      </c>
    </row>
    <row r="17" spans="1:6" x14ac:dyDescent="0.2">
      <c r="F17" s="13"/>
    </row>
    <row r="18" spans="1:6" ht="15" x14ac:dyDescent="0.25">
      <c r="A18" s="17"/>
      <c r="B18" s="17"/>
      <c r="C18" s="85">
        <v>101</v>
      </c>
      <c r="D18" s="85"/>
      <c r="E18" s="85" t="s">
        <v>238</v>
      </c>
      <c r="F18" s="107">
        <f>HLOOKUP($E$5,'Bourgeoisie bilan'!$F$4:$S$229,12,0)</f>
        <v>4371335.4400000004</v>
      </c>
    </row>
    <row r="19" spans="1:6" x14ac:dyDescent="0.2">
      <c r="D19" s="8">
        <v>1010</v>
      </c>
      <c r="E19" s="8" t="s">
        <v>312</v>
      </c>
      <c r="F19" s="13">
        <f>HLOOKUP($E$5,'Bourgeoisie bilan'!$F$4:$S$229,13,0)</f>
        <v>123042.44</v>
      </c>
    </row>
    <row r="20" spans="1:6" x14ac:dyDescent="0.2">
      <c r="D20" s="8">
        <v>1011</v>
      </c>
      <c r="E20" s="8" t="s">
        <v>393</v>
      </c>
      <c r="F20" s="13">
        <f>HLOOKUP($E$5,'Bourgeoisie bilan'!$F$4:$S$229,14,0)</f>
        <v>4247363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930</v>
      </c>
    </row>
    <row r="27" spans="1:6" x14ac:dyDescent="0.2">
      <c r="F27" s="13"/>
    </row>
    <row r="28" spans="1:6" ht="15" x14ac:dyDescent="0.25">
      <c r="C28" s="85">
        <v>102</v>
      </c>
      <c r="D28" s="85"/>
      <c r="E28" s="85" t="s">
        <v>239</v>
      </c>
      <c r="F28" s="107">
        <f>HLOOKUP($E$5,'Bourgeoisie bilan'!$F$4:$S$229,22,0)</f>
        <v>190000</v>
      </c>
    </row>
    <row r="29" spans="1:6" x14ac:dyDescent="0.2">
      <c r="D29" s="8">
        <v>1020</v>
      </c>
      <c r="E29" s="8" t="s">
        <v>320</v>
      </c>
      <c r="F29" s="13">
        <f>HLOOKUP($E$5,'Bourgeoisie bilan'!$F$4:$S$229,23,0)</f>
        <v>190000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206151.23</v>
      </c>
    </row>
    <row r="35" spans="3:6" x14ac:dyDescent="0.2">
      <c r="D35" s="8">
        <v>1040</v>
      </c>
      <c r="E35" s="8" t="s">
        <v>60</v>
      </c>
      <c r="F35" s="13">
        <f>HLOOKUP($E$5,'Bourgeoisie bilan'!$F$4:$S$229,29,0)</f>
        <v>11.95</v>
      </c>
    </row>
    <row r="36" spans="3:6" x14ac:dyDescent="0.2">
      <c r="D36" s="8">
        <v>1041</v>
      </c>
      <c r="E36" s="8" t="s">
        <v>324</v>
      </c>
      <c r="F36" s="13">
        <f>HLOOKUP($E$5,'Bourgeoisie bilan'!$F$4:$S$229,30,0)</f>
        <v>108431.40000000001</v>
      </c>
    </row>
    <row r="37" spans="3:6" x14ac:dyDescent="0.2">
      <c r="D37" s="8">
        <v>1042</v>
      </c>
      <c r="E37" s="8" t="s">
        <v>325</v>
      </c>
      <c r="F37" s="13">
        <f>HLOOKUP($E$5,'Bourgeoisie bilan'!$F$4:$S$229,31,0)</f>
        <v>0</v>
      </c>
    </row>
    <row r="38" spans="3:6" x14ac:dyDescent="0.2">
      <c r="D38" s="8">
        <v>1043</v>
      </c>
      <c r="E38" s="8" t="s">
        <v>326</v>
      </c>
      <c r="F38" s="13">
        <f>HLOOKUP($E$5,'Bourgeoisie bilan'!$F$4:$S$229,32,0)</f>
        <v>28045.1</v>
      </c>
    </row>
    <row r="39" spans="3:6" x14ac:dyDescent="0.2">
      <c r="D39" s="8">
        <v>1044</v>
      </c>
      <c r="E39" s="8" t="s">
        <v>327</v>
      </c>
      <c r="F39" s="13">
        <f>HLOOKUP($E$5,'Bourgeoisie bilan'!$F$4:$S$229,33,0)</f>
        <v>45634.28</v>
      </c>
    </row>
    <row r="40" spans="3:6" x14ac:dyDescent="0.2">
      <c r="D40" s="8">
        <v>1045</v>
      </c>
      <c r="E40" s="8" t="s">
        <v>328</v>
      </c>
      <c r="F40" s="13">
        <f>HLOOKUP($E$5,'Bourgeoisie bilan'!$F$4:$S$229,34,0)</f>
        <v>17018.7</v>
      </c>
    </row>
    <row r="41" spans="3:6" x14ac:dyDescent="0.2">
      <c r="D41" s="8">
        <v>1046</v>
      </c>
      <c r="E41" s="8" t="s">
        <v>329</v>
      </c>
      <c r="F41" s="13">
        <f>HLOOKUP($E$5,'Bourgeoisie bilan'!$F$4:$S$229,35,0)</f>
        <v>0</v>
      </c>
    </row>
    <row r="42" spans="3:6" x14ac:dyDescent="0.2">
      <c r="D42" s="8">
        <v>1049</v>
      </c>
      <c r="E42" s="8" t="s">
        <v>330</v>
      </c>
      <c r="F42" s="13">
        <f>HLOOKUP($E$5,'Bourgeoisie bilan'!$F$4:$S$229,36,0)</f>
        <v>7009.8</v>
      </c>
    </row>
    <row r="43" spans="3:6" x14ac:dyDescent="0.2">
      <c r="F43" s="13"/>
    </row>
    <row r="44" spans="3:6" ht="15" x14ac:dyDescent="0.25">
      <c r="C44" s="85">
        <v>106</v>
      </c>
      <c r="D44" s="85"/>
      <c r="E44" s="85" t="s">
        <v>241</v>
      </c>
      <c r="F44" s="107">
        <f>HLOOKUP($E$5,'Bourgeoisie bilan'!$F$4:$S$229,38,0)</f>
        <v>69486.3</v>
      </c>
    </row>
    <row r="45" spans="3:6" x14ac:dyDescent="0.2">
      <c r="D45" s="8">
        <v>1060</v>
      </c>
      <c r="E45" s="8" t="s">
        <v>331</v>
      </c>
      <c r="F45" s="13">
        <f>HLOOKUP($E$5,'Bourgeoisie bilan'!$F$4:$S$229,39,0)</f>
        <v>69486.3</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431148.83</v>
      </c>
    </row>
    <row r="52" spans="3:6" x14ac:dyDescent="0.2">
      <c r="D52" s="8">
        <v>1070</v>
      </c>
      <c r="E52" s="8" t="s">
        <v>336</v>
      </c>
      <c r="F52" s="13">
        <f>HLOOKUP($E$5,'Bourgeoisie bilan'!$F$4:$S$229,46,0)</f>
        <v>64779.4</v>
      </c>
    </row>
    <row r="53" spans="3:6" x14ac:dyDescent="0.2">
      <c r="D53" s="8">
        <v>1071</v>
      </c>
      <c r="E53" s="8" t="s">
        <v>337</v>
      </c>
      <c r="F53" s="13">
        <f>HLOOKUP($E$5,'Bourgeoisie bilan'!$F$4:$S$229,47,0)</f>
        <v>366369.43</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37161798.549999997</v>
      </c>
    </row>
    <row r="58" spans="3:6" x14ac:dyDescent="0.2">
      <c r="D58" s="8">
        <v>1080</v>
      </c>
      <c r="E58" s="8" t="s">
        <v>341</v>
      </c>
      <c r="F58" s="13">
        <f>HLOOKUP($E$5,'Bourgeoisie bilan'!$F$4:$S$229,52,0)</f>
        <v>23481138.050000001</v>
      </c>
    </row>
    <row r="59" spans="3:6" x14ac:dyDescent="0.2">
      <c r="D59" s="8">
        <v>1084</v>
      </c>
      <c r="E59" s="8" t="s">
        <v>342</v>
      </c>
      <c r="F59" s="13">
        <f>HLOOKUP($E$5,'Bourgeoisie bilan'!$F$4:$S$229,53,0)</f>
        <v>13574148.499999998</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2200</v>
      </c>
    </row>
    <row r="63" spans="3:6" x14ac:dyDescent="0.2">
      <c r="D63" s="8">
        <v>1089</v>
      </c>
      <c r="E63" s="8" t="s">
        <v>346</v>
      </c>
      <c r="F63" s="13">
        <f>HLOOKUP($E$5,'Bourgeoisie bilan'!$F$4:$S$229,57,0)</f>
        <v>104312</v>
      </c>
    </row>
    <row r="64" spans="3:6" x14ac:dyDescent="0.2">
      <c r="F64" s="13"/>
    </row>
    <row r="65" spans="2:6" ht="15" x14ac:dyDescent="0.25">
      <c r="C65" s="85">
        <v>109</v>
      </c>
      <c r="D65" s="85"/>
      <c r="E65" s="85" t="s">
        <v>347</v>
      </c>
      <c r="F65" s="107">
        <f>HLOOKUP($E$5,'Bourgeoisie bilan'!$F$4:$S$229,59,0)</f>
        <v>55041.05</v>
      </c>
    </row>
    <row r="66" spans="2:6" x14ac:dyDescent="0.2">
      <c r="D66" s="8">
        <v>1090</v>
      </c>
      <c r="E66" s="8" t="s">
        <v>347</v>
      </c>
      <c r="F66" s="13">
        <f>HLOOKUP($E$5,'Bourgeoisie bilan'!$F$4:$S$229,60,0)</f>
        <v>55041.05</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13681951.250000002</v>
      </c>
    </row>
    <row r="72" spans="2:6" ht="15" x14ac:dyDescent="0.25">
      <c r="C72" s="85">
        <v>140</v>
      </c>
      <c r="D72" s="85"/>
      <c r="E72" s="85" t="s">
        <v>245</v>
      </c>
      <c r="F72" s="107">
        <f>HLOOKUP($E$5,'Bourgeoisie bilan'!$F$4:$S$229,66,0)</f>
        <v>13557146.250000002</v>
      </c>
    </row>
    <row r="73" spans="2:6" x14ac:dyDescent="0.2">
      <c r="D73" s="8">
        <v>1400</v>
      </c>
      <c r="E73" s="8" t="s">
        <v>351</v>
      </c>
      <c r="F73" s="13">
        <f>HLOOKUP($E$5,'Bourgeoisie bilan'!$F$4:$S$229,67,0)</f>
        <v>3123904.5999999996</v>
      </c>
    </row>
    <row r="74" spans="2:6" x14ac:dyDescent="0.2">
      <c r="D74" s="8">
        <v>1401</v>
      </c>
      <c r="E74" s="8" t="s">
        <v>352</v>
      </c>
      <c r="F74" s="13">
        <f>HLOOKUP($E$5,'Bourgeoisie bilan'!$F$4:$S$229,68,0)</f>
        <v>279250.7</v>
      </c>
    </row>
    <row r="75" spans="2:6" x14ac:dyDescent="0.2">
      <c r="D75" s="8">
        <v>1402</v>
      </c>
      <c r="E75" s="8" t="s">
        <v>353</v>
      </c>
      <c r="F75" s="13">
        <f>HLOOKUP($E$5,'Bourgeoisie bilan'!$F$4:$S$229,69,0)</f>
        <v>85002</v>
      </c>
    </row>
    <row r="76" spans="2:6" x14ac:dyDescent="0.2">
      <c r="D76" s="8">
        <v>1403</v>
      </c>
      <c r="E76" s="8" t="s">
        <v>354</v>
      </c>
      <c r="F76" s="13">
        <f>HLOOKUP($E$5,'Bourgeoisie bilan'!$F$4:$S$229,70,0)</f>
        <v>34304.5</v>
      </c>
    </row>
    <row r="77" spans="2:6" x14ac:dyDescent="0.2">
      <c r="D77" s="8">
        <v>1404</v>
      </c>
      <c r="E77" s="8" t="s">
        <v>355</v>
      </c>
      <c r="F77" s="13">
        <f>HLOOKUP($E$5,'Bourgeoisie bilan'!$F$4:$S$229,71,0)</f>
        <v>2916845.45</v>
      </c>
    </row>
    <row r="78" spans="2:6" x14ac:dyDescent="0.2">
      <c r="D78" s="8">
        <v>1405</v>
      </c>
      <c r="E78" s="8" t="s">
        <v>356</v>
      </c>
      <c r="F78" s="13">
        <f>HLOOKUP($E$5,'Bourgeoisie bilan'!$F$4:$S$229,72,0)</f>
        <v>7033144</v>
      </c>
    </row>
    <row r="79" spans="2:6" x14ac:dyDescent="0.2">
      <c r="D79" s="8">
        <v>1406</v>
      </c>
      <c r="E79" s="8" t="s">
        <v>357</v>
      </c>
      <c r="F79" s="13">
        <f>HLOOKUP($E$5,'Bourgeoisie bilan'!$F$4:$S$229,73,0)</f>
        <v>41005</v>
      </c>
    </row>
    <row r="80" spans="2:6" x14ac:dyDescent="0.2">
      <c r="D80" s="8">
        <v>1407</v>
      </c>
      <c r="E80" s="8" t="s">
        <v>358</v>
      </c>
      <c r="F80" s="13">
        <f>HLOOKUP($E$5,'Bourgeoisie bilan'!$F$4:$S$229,74,0)</f>
        <v>43690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64800</v>
      </c>
    </row>
    <row r="90" spans="3:6" x14ac:dyDescent="0.2">
      <c r="D90" s="8">
        <v>1440</v>
      </c>
      <c r="E90" s="8" t="s">
        <v>362</v>
      </c>
      <c r="F90" s="13">
        <f>HLOOKUP($E$5,'Bourgeoisie bilan'!$F$4:$S$229,83,0)</f>
        <v>64800</v>
      </c>
    </row>
    <row r="91" spans="3:6" x14ac:dyDescent="0.2">
      <c r="D91" s="8">
        <v>1441</v>
      </c>
      <c r="E91" s="8" t="s">
        <v>364</v>
      </c>
      <c r="F91" s="13">
        <f>HLOOKUP($E$5,'Bourgeoisie bilan'!$F$4:$S$229,85,0)</f>
        <v>0</v>
      </c>
    </row>
    <row r="92" spans="3:6" x14ac:dyDescent="0.2">
      <c r="D92" s="8">
        <v>1442</v>
      </c>
      <c r="E92" s="8" t="s">
        <v>363</v>
      </c>
      <c r="F92" s="13">
        <f>HLOOKUP($E$5,'Bourgeoisie bilan'!$F$4:$S$229,86,0)</f>
        <v>22800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42000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60005</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2</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62241655.060000002</v>
      </c>
    </row>
    <row r="125" spans="1:6" ht="15" x14ac:dyDescent="0.25">
      <c r="A125" s="7"/>
      <c r="B125" s="121">
        <v>20</v>
      </c>
      <c r="C125" s="121"/>
      <c r="D125" s="121"/>
      <c r="E125" s="121" t="s">
        <v>248</v>
      </c>
      <c r="F125" s="122">
        <f>HLOOKUP($E$5,'Bourgeoisie bilan'!$F$4:$S$229,119,0)</f>
        <v>9545976.6400000006</v>
      </c>
    </row>
    <row r="126" spans="1:6" ht="15" x14ac:dyDescent="0.25">
      <c r="C126" s="123">
        <v>200</v>
      </c>
      <c r="D126" s="123"/>
      <c r="E126" s="123" t="s">
        <v>249</v>
      </c>
      <c r="F126" s="124">
        <f>HLOOKUP($E$5,'Bourgeoisie bilan'!$F$4:$S$229,120,0)</f>
        <v>251219.42</v>
      </c>
    </row>
    <row r="127" spans="1:6" x14ac:dyDescent="0.2">
      <c r="D127" s="8">
        <v>2000</v>
      </c>
      <c r="E127" s="8" t="s">
        <v>392</v>
      </c>
      <c r="F127" s="13">
        <f>HLOOKUP($E$5,'Bourgeoisie bilan'!$F$4:$S$229,121,0)</f>
        <v>245854.42</v>
      </c>
    </row>
    <row r="128" spans="1:6" x14ac:dyDescent="0.2">
      <c r="D128" s="8">
        <v>2001</v>
      </c>
      <c r="E128" s="8" t="s">
        <v>393</v>
      </c>
      <c r="F128" s="13">
        <f>HLOOKUP($E$5,'Bourgeoisie bilan'!$F$4:$S$229,122,0)</f>
        <v>15</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33000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33000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578144.46999999986</v>
      </c>
    </row>
    <row r="147" spans="3:6" x14ac:dyDescent="0.2">
      <c r="D147" s="8">
        <v>2040</v>
      </c>
      <c r="E147" s="8" t="s">
        <v>60</v>
      </c>
      <c r="F147" s="13">
        <f>HLOOKUP($E$5,'Bourgeoisie bilan'!$F$4:$S$229,141,0)</f>
        <v>48342.8</v>
      </c>
    </row>
    <row r="148" spans="3:6" x14ac:dyDescent="0.2">
      <c r="D148" s="8">
        <v>2041</v>
      </c>
      <c r="E148" s="8" t="s">
        <v>273</v>
      </c>
      <c r="F148" s="13">
        <f>HLOOKUP($E$5,'Bourgeoisie bilan'!$F$4:$S$229,142,0)</f>
        <v>202130.40000000002</v>
      </c>
    </row>
    <row r="149" spans="3:6" x14ac:dyDescent="0.2">
      <c r="D149" s="8">
        <v>2042</v>
      </c>
      <c r="E149" s="8" t="s">
        <v>325</v>
      </c>
      <c r="F149" s="13">
        <f>HLOOKUP($E$5,'Bourgeoisie bilan'!$F$4:$S$229,143,0)</f>
        <v>0</v>
      </c>
    </row>
    <row r="150" spans="3:6" x14ac:dyDescent="0.2">
      <c r="D150" s="8">
        <v>2043</v>
      </c>
      <c r="E150" s="8" t="s">
        <v>326</v>
      </c>
      <c r="F150" s="13">
        <f>HLOOKUP($E$5,'Bourgeoisie bilan'!$F$4:$S$229,144,0)</f>
        <v>6257.25</v>
      </c>
    </row>
    <row r="151" spans="3:6" x14ac:dyDescent="0.2">
      <c r="D151" s="8">
        <v>2044</v>
      </c>
      <c r="E151" s="8" t="s">
        <v>406</v>
      </c>
      <c r="F151" s="13">
        <f>HLOOKUP($E$5,'Bourgeoisie bilan'!$F$4:$S$229,145,0)</f>
        <v>89781.74</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231632.28</v>
      </c>
    </row>
    <row r="155" spans="3:6" x14ac:dyDescent="0.2">
      <c r="F155" s="13"/>
    </row>
    <row r="156" spans="3:6" ht="15" x14ac:dyDescent="0.25">
      <c r="C156" s="123">
        <v>205</v>
      </c>
      <c r="D156" s="123"/>
      <c r="E156" s="123" t="s">
        <v>252</v>
      </c>
      <c r="F156" s="124">
        <f>HLOOKUP($E$5,'Bourgeoisie bilan'!$F$4:$S$229,150,0)</f>
        <v>17460.2</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17460.2</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7775104</v>
      </c>
    </row>
    <row r="169" spans="3:6" x14ac:dyDescent="0.2">
      <c r="D169" s="8">
        <v>2060</v>
      </c>
      <c r="E169" s="8" t="s">
        <v>419</v>
      </c>
      <c r="F169" s="13">
        <f>HLOOKUP($E$5,'Bourgeoisie bilan'!$F$4:$S$229,163,0)</f>
        <v>6487300</v>
      </c>
    </row>
    <row r="170" spans="3:6" x14ac:dyDescent="0.2">
      <c r="D170" s="8">
        <v>2062</v>
      </c>
      <c r="E170" s="8" t="s">
        <v>420</v>
      </c>
      <c r="F170" s="13">
        <f>HLOOKUP($E$5,'Bourgeoisie bilan'!$F$4:$S$229,164,0)</f>
        <v>0</v>
      </c>
    </row>
    <row r="171" spans="3:6" x14ac:dyDescent="0.2">
      <c r="D171" s="8">
        <v>2063</v>
      </c>
      <c r="E171" s="8" t="s">
        <v>421</v>
      </c>
      <c r="F171" s="13">
        <f>HLOOKUP($E$5,'Bourgeoisie bilan'!$F$4:$S$229,165,0)</f>
        <v>1036004</v>
      </c>
    </row>
    <row r="172" spans="3:6" x14ac:dyDescent="0.2">
      <c r="D172" s="8">
        <v>2064</v>
      </c>
      <c r="E172" s="8" t="s">
        <v>442</v>
      </c>
      <c r="F172" s="13">
        <f>HLOOKUP($E$5,'Bourgeoisie bilan'!$F$4:$S$229,166,0)</f>
        <v>247800</v>
      </c>
    </row>
    <row r="173" spans="3:6" x14ac:dyDescent="0.2">
      <c r="D173" s="8">
        <v>2067</v>
      </c>
      <c r="E173" s="8" t="s">
        <v>423</v>
      </c>
      <c r="F173" s="13">
        <f>HLOOKUP($E$5,'Bourgeoisie bilan'!$F$4:$S$229,167,0)</f>
        <v>0</v>
      </c>
    </row>
    <row r="174" spans="3:6" x14ac:dyDescent="0.2">
      <c r="D174" s="8">
        <v>2069</v>
      </c>
      <c r="E174" s="8" t="s">
        <v>424</v>
      </c>
      <c r="F174" s="13">
        <f>HLOOKUP($E$5,'Bourgeoisie bilan'!$F$4:$S$229,168,0)</f>
        <v>4000</v>
      </c>
    </row>
    <row r="175" spans="3:6" x14ac:dyDescent="0.2">
      <c r="F175" s="13"/>
    </row>
    <row r="176" spans="3:6" ht="15" x14ac:dyDescent="0.25">
      <c r="C176" s="123">
        <v>208</v>
      </c>
      <c r="D176" s="123"/>
      <c r="E176" s="123" t="s">
        <v>254</v>
      </c>
      <c r="F176" s="124">
        <f>HLOOKUP($E$5,'Bourgeoisie bilan'!$F$4:$S$229,170,0)</f>
        <v>797110.7</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1800</v>
      </c>
    </row>
    <row r="181" spans="3:6" x14ac:dyDescent="0.2">
      <c r="D181" s="8">
        <v>2085</v>
      </c>
      <c r="E181" s="8" t="s">
        <v>430</v>
      </c>
      <c r="F181" s="13">
        <f>HLOOKUP($E$5,'Bourgeoisie bilan'!$F$4:$S$229,175,0)</f>
        <v>795310.7</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93937.85</v>
      </c>
    </row>
    <row r="188" spans="3:6" x14ac:dyDescent="0.2">
      <c r="D188" s="8">
        <v>2090</v>
      </c>
      <c r="E188" s="8" t="s">
        <v>255</v>
      </c>
      <c r="F188" s="13">
        <f>HLOOKUP($E$5,'Bourgeoisie bilan'!$F$4:$S$229,182,0)</f>
        <v>93700</v>
      </c>
    </row>
    <row r="189" spans="3:6" x14ac:dyDescent="0.2">
      <c r="D189" s="8">
        <v>2091</v>
      </c>
      <c r="E189" s="8" t="s">
        <v>434</v>
      </c>
      <c r="F189" s="13">
        <f>HLOOKUP($E$5,'Bourgeoisie bilan'!$F$4:$S$229,183,0)</f>
        <v>237.85</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22">
        <f>HLOOKUP($E$5,'Bourgeoisie bilan'!$F$4:$S$229,187,0)</f>
        <v>52695678.420000002</v>
      </c>
    </row>
    <row r="194" spans="2:6" ht="15" x14ac:dyDescent="0.25">
      <c r="C194" s="123">
        <v>290</v>
      </c>
      <c r="D194" s="123"/>
      <c r="E194" s="123" t="s">
        <v>257</v>
      </c>
      <c r="F194" s="124">
        <f>HLOOKUP($E$5,'Bourgeoisie bilan'!$F$4:$S$229,188,0)</f>
        <v>5134636.5299999993</v>
      </c>
    </row>
    <row r="195" spans="2:6" x14ac:dyDescent="0.2">
      <c r="D195" s="8">
        <v>2900</v>
      </c>
      <c r="E195" s="8" t="s">
        <v>257</v>
      </c>
      <c r="F195" s="13">
        <f>HLOOKUP($E$5,'Bourgeoisie bilan'!$F$4:$S$229,189,0)</f>
        <v>5134636.5299999993</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3500</v>
      </c>
    </row>
    <row r="202" spans="2:6" x14ac:dyDescent="0.2">
      <c r="D202" s="8">
        <v>2920</v>
      </c>
      <c r="E202" s="8" t="s">
        <v>259</v>
      </c>
      <c r="F202" s="13">
        <f>HLOOKUP($E$5,'Bourgeoisie bilan'!$F$4:$S$229,196,0)</f>
        <v>3500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174837.24</v>
      </c>
    </row>
    <row r="208" spans="2:6" x14ac:dyDescent="0.2">
      <c r="D208" s="8">
        <v>2940</v>
      </c>
      <c r="E208" s="8" t="s">
        <v>261</v>
      </c>
      <c r="F208" s="13">
        <f>HLOOKUP($E$5,'Bourgeoisie bilan'!$F$4:$S$229,202,0)</f>
        <v>174837.24</v>
      </c>
    </row>
    <row r="209" spans="3:6" x14ac:dyDescent="0.2">
      <c r="F209" s="13"/>
    </row>
    <row r="210" spans="3:6" ht="15" x14ac:dyDescent="0.25">
      <c r="C210" s="123">
        <v>295</v>
      </c>
      <c r="D210" s="123"/>
      <c r="E210" s="123" t="s">
        <v>262</v>
      </c>
      <c r="F210" s="124">
        <f>HLOOKUP($E$5,'Bourgeoisie bilan'!$F$4:$S$229,204,0)</f>
        <v>9000</v>
      </c>
    </row>
    <row r="211" spans="3:6" x14ac:dyDescent="0.2">
      <c r="D211" s="8">
        <v>2950</v>
      </c>
      <c r="E211" s="8" t="s">
        <v>262</v>
      </c>
      <c r="F211" s="13">
        <f>HLOOKUP($E$5,'Bourgeoisie bilan'!$F$4:$S$229,205,0)</f>
        <v>9000</v>
      </c>
    </row>
    <row r="212" spans="3:6" x14ac:dyDescent="0.2">
      <c r="F212" s="13"/>
    </row>
    <row r="213" spans="3:6" ht="15" x14ac:dyDescent="0.25">
      <c r="C213" s="123">
        <v>296</v>
      </c>
      <c r="D213" s="123"/>
      <c r="E213" s="123" t="s">
        <v>263</v>
      </c>
      <c r="F213" s="124">
        <f>HLOOKUP($E$5,'Bourgeoisie bilan'!$F$4:$S$229,207,0)</f>
        <v>23843477</v>
      </c>
    </row>
    <row r="214" spans="3:6" x14ac:dyDescent="0.2">
      <c r="D214" s="8">
        <v>2960</v>
      </c>
      <c r="E214" s="8" t="s">
        <v>263</v>
      </c>
      <c r="F214" s="13">
        <f>HLOOKUP($E$5,'Bourgeoisie bilan'!$F$4:$S$229,208,0)</f>
        <v>23843477</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23530227.650000002</v>
      </c>
    </row>
    <row r="220" spans="3:6" x14ac:dyDescent="0.2">
      <c r="D220" s="8">
        <v>2990</v>
      </c>
      <c r="E220" s="8" t="s">
        <v>438</v>
      </c>
      <c r="F220" s="13">
        <f>HLOOKUP($E$5,'Bourgeoisie bilan'!$F$4:$S$229,214,0)</f>
        <v>42952.65</v>
      </c>
    </row>
    <row r="221" spans="3:6" x14ac:dyDescent="0.2">
      <c r="D221" s="8">
        <v>2999</v>
      </c>
      <c r="E221" s="8" t="s">
        <v>815</v>
      </c>
      <c r="F221" s="13">
        <f>HLOOKUP($E$5,'Bourgeoisie bilan'!$F$4:$S$229,215,0)</f>
        <v>23487274.999999996</v>
      </c>
    </row>
    <row r="222" spans="3:6" x14ac:dyDescent="0.2">
      <c r="F222" s="13"/>
    </row>
    <row r="223" spans="3:6" ht="15" hidden="1" x14ac:dyDescent="0.25">
      <c r="C223" s="127"/>
      <c r="D223" s="127"/>
      <c r="E223" s="127" t="s">
        <v>574</v>
      </c>
      <c r="F223" s="13">
        <f>HLOOKUP($E$5,'Bourgeoisie bilan'!$F$4:$S$229,217,0)</f>
        <v>0</v>
      </c>
    </row>
    <row r="224" spans="3:6" hidden="1" x14ac:dyDescent="0.2">
      <c r="D224" s="8">
        <v>290</v>
      </c>
      <c r="E224" s="8" t="s">
        <v>573</v>
      </c>
      <c r="F224" s="13">
        <f>HLOOKUP($E$5,'Bourgeoisie bilan'!$F$4:$S$229,218,0)</f>
        <v>0</v>
      </c>
    </row>
    <row r="225" spans="4:6" hidden="1" x14ac:dyDescent="0.2">
      <c r="D225" s="8">
        <v>2990</v>
      </c>
      <c r="E225" s="8" t="s">
        <v>577</v>
      </c>
      <c r="F225" s="13">
        <f>HLOOKUP($E$5,'Bourgeoisie bilan'!$F$4:$S$229,219,0)</f>
        <v>42952.65</v>
      </c>
    </row>
    <row r="226" spans="4:6" hidden="1" x14ac:dyDescent="0.2">
      <c r="F226" s="13"/>
    </row>
    <row r="227" spans="4:6" ht="15" hidden="1" x14ac:dyDescent="0.25">
      <c r="E227" s="7" t="s">
        <v>576</v>
      </c>
      <c r="F227" s="13">
        <f>HLOOKUP($E$5,'Bourgeoisie bilan'!$F$4:$S$229,221,0)</f>
        <v>42952.65</v>
      </c>
    </row>
    <row r="228" spans="4:6" hidden="1" x14ac:dyDescent="0.2">
      <c r="F228" s="13">
        <f>HLOOKUP($E$5,'Bourgeoisie bilan'!$F$4:$S$229,222,0)</f>
        <v>0</v>
      </c>
    </row>
    <row r="229" spans="4:6" hidden="1" x14ac:dyDescent="0.2">
      <c r="E229" s="86" t="s">
        <v>575</v>
      </c>
      <c r="F229" s="13">
        <f>HLOOKUP($E$5,'Bourgeoisie bilan'!$F$4:$S$229,223,0)</f>
        <v>0</v>
      </c>
    </row>
    <row r="230" spans="4:6" hidden="1" x14ac:dyDescent="0.2"/>
    <row r="231" spans="4:6" hidden="1" x14ac:dyDescent="0.2"/>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pane="topRight" activeCell="C1" sqref="C1"/>
      <selection pane="bottomLeft" activeCell="A8" sqref="A8"/>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5" sqref="B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pane="topRight" activeCell="E1" sqref="E1"/>
      <selection pane="bottomLeft" activeCell="A4" sqref="A4"/>
      <selection pane="bottomRight" activeCell="G181" sqref="G181"/>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pane="topRight" activeCell="E1" sqref="E1"/>
      <selection pane="bottomLeft" activeCell="A4" sqref="A4"/>
      <selection pane="bottomRight" activeCell="AF5" sqref="AF5"/>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H39" sqref="H39"/>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B6" sqref="B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B33" sqref="B3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6" sqref="B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pane="topRight" activeCell="F1" sqref="F1"/>
      <selection pane="bottomLeft" activeCell="A4" sqref="A4"/>
      <selection pane="bottomRight" activeCell="U218" sqref="U218"/>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E2" sqref="E2"/>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B29" sqref="B29"/>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G10" sqref="G10"/>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2024-09-18T13:12:02Z</dcterms:modified>
</cp:coreProperties>
</file>