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45" activeTab="45"/>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Z32" i="32" l="1"/>
  <c r="AZ31" i="32"/>
  <c r="AZ29" i="3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<sst xmlns="http://schemas.openxmlformats.org/spreadsheetml/2006/main" count="5640" uniqueCount="882">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</sst>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Z30" sqref="AZ30"/>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AZ30" sqref="AZ30"/>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AZ30" sqref="AZ30"/>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AZ30" sqref="AZ30"/>
      <selection pane="topRight" activeCell="AZ30" sqref="AZ30"/>
      <selection pane="bottomLeft" activeCell="AZ30" sqref="AZ30"/>
      <selection pane="bottomRight" activeCell="AZ30" sqref="AZ30"/>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Z30" sqref="AZ30"/>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AZ30" sqref="AZ30"/>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Z30" sqref="AZ30"/>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7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Y8" activePane="bottomRight" state="frozen"/>
      <selection activeCell="AZ30" sqref="AZ30"/>
      <selection pane="topRight" activeCell="AZ30" sqref="AZ30"/>
      <selection pane="bottomLeft" activeCell="AZ30" sqref="AZ30"/>
      <selection pane="bottomRight" activeCell="AZ30" sqref="AZ30"/>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f>AZ10</f>
        <v>11179720.809999999</v>
      </c>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v>3500000</v>
      </c>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f>AZ29+AZ30</f>
        <v>14679720.809999999</v>
      </c>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f>AZ31/AZ6</f>
        <v>13954.107233840303</v>
      </c>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tabSelected="1" workbookViewId="0">
      <selection activeCell="D34" sqref="D34"/>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65</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207293.83999999997</v>
      </c>
    </row>
    <row r="10" spans="1:5" x14ac:dyDescent="0.2">
      <c r="B10" s="102">
        <v>33</v>
      </c>
      <c r="C10" s="106" t="s">
        <v>224</v>
      </c>
      <c r="D10" s="102" t="s">
        <v>97</v>
      </c>
      <c r="E10" s="103">
        <f>HLOOKUP($B$6,'Bourgeoisies Comptes 2022'!$E$4:$R$168,25,0)</f>
        <v>227781.8</v>
      </c>
    </row>
    <row r="11" spans="1:5" x14ac:dyDescent="0.2">
      <c r="B11" s="102">
        <v>35</v>
      </c>
      <c r="C11" s="106" t="s">
        <v>224</v>
      </c>
      <c r="D11" s="102" t="s">
        <v>226</v>
      </c>
      <c r="E11" s="103">
        <f>HLOOKUP($B$6,'Bourgeoisies Comptes 2022'!$E$4:$R$168,37,0)</f>
        <v>118003.83</v>
      </c>
    </row>
    <row r="12" spans="1:5" x14ac:dyDescent="0.2">
      <c r="B12" s="102">
        <v>45</v>
      </c>
      <c r="C12" s="106" t="s">
        <v>225</v>
      </c>
      <c r="D12" s="102" t="s">
        <v>173</v>
      </c>
      <c r="E12" s="103">
        <f>HLOOKUP($B$6,'Bourgeoisies Comptes 2022'!$E$4:$R$168,115,0)</f>
        <v>55821.350000000006</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228800</v>
      </c>
    </row>
    <row r="17" spans="2:5" x14ac:dyDescent="0.2">
      <c r="B17" s="102">
        <v>4490</v>
      </c>
      <c r="C17" s="106" t="s">
        <v>225</v>
      </c>
      <c r="D17" s="102" t="s">
        <v>235</v>
      </c>
      <c r="E17" s="103">
        <f>HLOOKUP($B$6,'Bourgeoisies Comptes 2022'!$E$4:$R$168,113,0)</f>
        <v>-19.95</v>
      </c>
    </row>
    <row r="18" spans="2:5" x14ac:dyDescent="0.2">
      <c r="B18" s="102">
        <v>489</v>
      </c>
      <c r="C18" s="106" t="s">
        <v>225</v>
      </c>
      <c r="D18" s="102" t="s">
        <v>232</v>
      </c>
      <c r="E18" s="103">
        <f>HLOOKUP($B$6,'Bourgeoisies Comptes 2022'!$E$4:$R$168,136,0)</f>
        <v>20</v>
      </c>
    </row>
    <row r="19" spans="2:5" x14ac:dyDescent="0.2">
      <c r="B19" s="102"/>
      <c r="C19" s="106"/>
      <c r="D19" s="102"/>
      <c r="E19" s="103"/>
    </row>
    <row r="20" spans="2:5" ht="15" x14ac:dyDescent="0.25">
      <c r="B20" s="107"/>
      <c r="C20" s="107"/>
      <c r="D20" s="104" t="s">
        <v>228</v>
      </c>
      <c r="E20" s="105">
        <f>E9+E10+E11-E12+E13+E14+E15+E16-E17-E18</f>
        <v>726058.07</v>
      </c>
    </row>
    <row r="21" spans="2:5" x14ac:dyDescent="0.2">
      <c r="B21" s="102"/>
      <c r="C21" s="102"/>
      <c r="D21" s="102"/>
      <c r="E21" s="103"/>
    </row>
    <row r="22" spans="2:5" x14ac:dyDescent="0.2">
      <c r="B22" s="102" t="s">
        <v>223</v>
      </c>
      <c r="C22" s="108" t="s">
        <v>225</v>
      </c>
      <c r="D22" s="102" t="s">
        <v>229</v>
      </c>
      <c r="E22" s="103">
        <f>HLOOKUP($B$6,'Bourgeoisie investissement'!$E$4:$R$184,180,0)</f>
        <v>180106.55</v>
      </c>
    </row>
    <row r="23" spans="2:5" x14ac:dyDescent="0.2">
      <c r="B23" s="102"/>
      <c r="C23" s="102"/>
      <c r="D23" s="102"/>
      <c r="E23" s="103"/>
    </row>
    <row r="24" spans="2:5" ht="15" x14ac:dyDescent="0.25">
      <c r="B24" s="107"/>
      <c r="C24" s="107"/>
      <c r="D24" s="104" t="s">
        <v>230</v>
      </c>
      <c r="E24" s="105">
        <f>E20-E22</f>
        <v>545951.52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F192" sqref="F192:R192"/>
      <selection pane="topRight" activeCell="F192" sqref="F192:R192"/>
      <selection pane="bottomLeft" activeCell="F192" sqref="F192:R192"/>
      <selection pane="bottomRight" activeCell="F192" sqref="F192:R192"/>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F192" sqref="F192:R19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F192" sqref="F192:R192"/>
      <selection pane="topRight" activeCell="F192" sqref="F192:R192"/>
      <selection pane="bottomLeft" activeCell="F192" sqref="F192:R192"/>
      <selection pane="bottomRight" activeCell="F192" sqref="F192:R192"/>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F192" sqref="F192:R192"/>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F192" sqref="F192:R192"/>
      <selection pane="topRight" activeCell="F192" sqref="F192:R192"/>
      <selection pane="bottomLeft" activeCell="F192" sqref="F192:R192"/>
      <selection pane="bottomRight" activeCell="F192" sqref="F192:R192"/>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F192" sqref="F192:R192"/>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W134" activePane="bottomRight" state="frozen"/>
      <selection activeCell="F192" sqref="F192:R192"/>
      <selection pane="topRight" activeCell="F192" sqref="F192:R192"/>
      <selection pane="bottomLeft" activeCell="F192" sqref="F192:R192"/>
      <selection pane="bottomRight" activeCell="F192" sqref="F192:R192"/>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35375768.979999997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5574042.7400000012</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89789</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16090137.869999999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7251791.2399999993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35991670.730000012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14959436.990000002</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14255951.400000002</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32158129.799999997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32819040.750000004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F192" sqref="F192:R192"/>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803</v>
      </c>
    </row>
    <row r="7" spans="1:5" ht="15" x14ac:dyDescent="0.25">
      <c r="E7" s="33" t="s">
        <v>201</v>
      </c>
    </row>
    <row r="8" spans="1:5" ht="20.25" x14ac:dyDescent="0.3">
      <c r="A8" s="11">
        <v>3</v>
      </c>
      <c r="B8" s="11"/>
      <c r="C8" s="11"/>
      <c r="D8" s="11" t="s">
        <v>60</v>
      </c>
      <c r="E8" s="97">
        <f>HLOOKUP($D$5,'Syndicats comptes 2022'!$E$4:$AF$168,2,0)</f>
        <v>45959.4</v>
      </c>
    </row>
    <row r="9" spans="1:5" ht="15" x14ac:dyDescent="0.25">
      <c r="A9" s="79"/>
      <c r="B9" s="79">
        <v>30</v>
      </c>
      <c r="C9" s="79"/>
      <c r="D9" s="79" t="s">
        <v>61</v>
      </c>
      <c r="E9" s="80">
        <f>HLOOKUP($D$5,'Syndicats comptes 2022'!$E$4:$AF$168,3,0)</f>
        <v>45777.4</v>
      </c>
    </row>
    <row r="10" spans="1:5" x14ac:dyDescent="0.2">
      <c r="C10" s="8">
        <v>300</v>
      </c>
      <c r="D10" s="8" t="s">
        <v>80</v>
      </c>
      <c r="E10" s="13">
        <f>HLOOKUP($D$5,'Syndicats comptes 2022'!$E$4:$AF$168,4,0)</f>
        <v>4150</v>
      </c>
    </row>
    <row r="11" spans="1:5" x14ac:dyDescent="0.2">
      <c r="C11" s="8">
        <v>301</v>
      </c>
      <c r="D11" s="8" t="s">
        <v>81</v>
      </c>
      <c r="E11" s="13">
        <f>HLOOKUP($D$5,'Syndicats comptes 2022'!$E$4:$AF$168,5,0)</f>
        <v>33582.870000000003</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6085.18</v>
      </c>
    </row>
    <row r="16" spans="1:5" x14ac:dyDescent="0.2">
      <c r="C16" s="8">
        <v>306</v>
      </c>
      <c r="D16" s="8" t="s">
        <v>85</v>
      </c>
      <c r="E16" s="13">
        <f>HLOOKUP($D$5,'Syndicats comptes 2022'!$E$4:$AF$168,10,0)</f>
        <v>0</v>
      </c>
    </row>
    <row r="17" spans="2:5" x14ac:dyDescent="0.2">
      <c r="C17" s="8">
        <v>309</v>
      </c>
      <c r="D17" s="8" t="s">
        <v>86</v>
      </c>
      <c r="E17" s="13">
        <f>HLOOKUP($D$5,'Syndicats comptes 2022'!$E$4:$AF$168,11,0)</f>
        <v>1959.35</v>
      </c>
    </row>
    <row r="18" spans="2:5" x14ac:dyDescent="0.2">
      <c r="E18" s="13"/>
    </row>
    <row r="19" spans="2:5" ht="15" x14ac:dyDescent="0.25">
      <c r="B19" s="79">
        <v>31</v>
      </c>
      <c r="C19" s="79"/>
      <c r="D19" s="79" t="s">
        <v>87</v>
      </c>
      <c r="E19" s="80">
        <f>HLOOKUP($D$5,'Syndicats comptes 2022'!$E$4:$AF$168,13,0)</f>
        <v>182</v>
      </c>
    </row>
    <row r="20" spans="2:5" x14ac:dyDescent="0.2">
      <c r="C20" s="8">
        <v>310</v>
      </c>
      <c r="D20" s="8" t="s">
        <v>88</v>
      </c>
      <c r="E20" s="13">
        <f>HLOOKUP($D$5,'Syndicats comptes 2022'!$E$4:$AF$168,14,0)</f>
        <v>0</v>
      </c>
    </row>
    <row r="21" spans="2:5" x14ac:dyDescent="0.2">
      <c r="C21" s="8">
        <v>311</v>
      </c>
      <c r="D21" s="8" t="s">
        <v>449</v>
      </c>
      <c r="E21" s="13">
        <f>HLOOKUP($D$5,'Syndicats comptes 2022'!$E$4:$AF$168,15,0)</f>
        <v>0</v>
      </c>
    </row>
    <row r="22" spans="2:5" x14ac:dyDescent="0.2">
      <c r="C22" s="8">
        <v>312</v>
      </c>
      <c r="D22" s="8" t="s">
        <v>90</v>
      </c>
      <c r="E22" s="13">
        <f>HLOOKUP($D$5,'Syndicats comptes 2022'!$E$4:$AF$168,16,0)</f>
        <v>0</v>
      </c>
    </row>
    <row r="23" spans="2:5" x14ac:dyDescent="0.2">
      <c r="C23" s="8">
        <v>313</v>
      </c>
      <c r="D23" s="8" t="s">
        <v>91</v>
      </c>
      <c r="E23" s="13">
        <f>HLOOKUP($D$5,'Syndicats comptes 2022'!$E$4:$AF$168,17,0)</f>
        <v>182</v>
      </c>
    </row>
    <row r="24" spans="2:5" x14ac:dyDescent="0.2">
      <c r="C24" s="8">
        <v>314</v>
      </c>
      <c r="D24" s="8" t="s">
        <v>841</v>
      </c>
      <c r="E24" s="13">
        <f>HLOOKUP($D$5,'Syndicats comptes 2022'!$E$4:$AF$168,18,0)</f>
        <v>0</v>
      </c>
    </row>
    <row r="25" spans="2:5" x14ac:dyDescent="0.2">
      <c r="C25" s="8">
        <v>315</v>
      </c>
      <c r="D25" s="8" t="s">
        <v>92</v>
      </c>
      <c r="E25" s="13">
        <f>HLOOKUP($D$5,'Syndicats comptes 2022'!$E$4:$AF$168,19,0)</f>
        <v>0</v>
      </c>
    </row>
    <row r="26" spans="2:5" x14ac:dyDescent="0.2">
      <c r="C26" s="8">
        <v>316</v>
      </c>
      <c r="D26" s="8" t="s">
        <v>93</v>
      </c>
      <c r="E26" s="13">
        <f>HLOOKUP($D$5,'Syndicats comptes 2022'!$E$4:$AF$168,20,0)</f>
        <v>0</v>
      </c>
    </row>
    <row r="27" spans="2:5" x14ac:dyDescent="0.2">
      <c r="C27" s="8">
        <v>317</v>
      </c>
      <c r="D27" s="8" t="s">
        <v>94</v>
      </c>
      <c r="E27" s="13">
        <f>HLOOKUP($D$5,'Syndicats comptes 2022'!$E$4:$AF$168,21,0)</f>
        <v>0</v>
      </c>
    </row>
    <row r="28" spans="2:5" x14ac:dyDescent="0.2">
      <c r="C28" s="8">
        <v>318</v>
      </c>
      <c r="D28" s="8" t="s">
        <v>95</v>
      </c>
      <c r="E28" s="13">
        <f>HLOOKUP($D$5,'Syndicats comptes 2022'!$E$4:$AF$168,22,0)</f>
        <v>0</v>
      </c>
    </row>
    <row r="29" spans="2:5" x14ac:dyDescent="0.2">
      <c r="C29" s="8">
        <v>319</v>
      </c>
      <c r="D29" s="8" t="s">
        <v>96</v>
      </c>
      <c r="E29" s="13">
        <f>HLOOKUP($D$5,'Syndicats comptes 2022'!$E$4:$AF$168,23,0)</f>
        <v>0</v>
      </c>
    </row>
    <row r="30" spans="2:5" x14ac:dyDescent="0.2">
      <c r="E30" s="13"/>
    </row>
    <row r="31" spans="2:5" ht="15" x14ac:dyDescent="0.25">
      <c r="B31" s="79">
        <v>33</v>
      </c>
      <c r="C31" s="79"/>
      <c r="D31" s="79" t="s">
        <v>97</v>
      </c>
      <c r="E31" s="80">
        <f>HLOOKUP($D$5,'Syndicats comptes 2022'!$E$4:$AF$168,25,0)</f>
        <v>0</v>
      </c>
    </row>
    <row r="32" spans="2:5" x14ac:dyDescent="0.2">
      <c r="C32" s="8">
        <v>330</v>
      </c>
      <c r="D32" s="8" t="s">
        <v>99</v>
      </c>
      <c r="E32" s="13">
        <f>HLOOKUP($D$5,'Syndicats comptes 2022'!$E$4:$AF$168,26,0)</f>
        <v>0</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0</v>
      </c>
    </row>
    <row r="36" spans="2:5" x14ac:dyDescent="0.2">
      <c r="C36" s="8">
        <v>340</v>
      </c>
      <c r="D36" s="8" t="s">
        <v>101</v>
      </c>
      <c r="E36" s="13">
        <f>HLOOKUP($D$5,'Syndicats comptes 2022'!$E$4:$AF$168,30,0)</f>
        <v>0</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0</v>
      </c>
    </row>
    <row r="44" spans="2:5" x14ac:dyDescent="0.2">
      <c r="C44" s="8">
        <v>350</v>
      </c>
      <c r="D44" s="8" t="s">
        <v>108</v>
      </c>
      <c r="E44" s="13">
        <f>HLOOKUP($D$5,'Syndicats comptes 2022'!$E$4:$AF$168,38,0)</f>
        <v>0</v>
      </c>
    </row>
    <row r="45" spans="2:5" x14ac:dyDescent="0.2">
      <c r="C45" s="8">
        <v>351</v>
      </c>
      <c r="D45" s="8" t="s">
        <v>107</v>
      </c>
      <c r="E45" s="13">
        <f>HLOOKUP($D$5,'Syndicats comptes 2022'!$E$4:$AF$168,39,0)</f>
        <v>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47268.15</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0</v>
      </c>
    </row>
    <row r="93" spans="2:5" x14ac:dyDescent="0.2">
      <c r="C93" s="8">
        <v>420</v>
      </c>
      <c r="D93" s="8" t="s">
        <v>147</v>
      </c>
      <c r="E93" s="13">
        <f>HLOOKUP($D$5,'Syndicats comptes 2022'!$E$4:$AF$168,87,0)</f>
        <v>0</v>
      </c>
    </row>
    <row r="94" spans="2:5" x14ac:dyDescent="0.2">
      <c r="C94" s="8">
        <v>421</v>
      </c>
      <c r="D94" s="8" t="s">
        <v>148</v>
      </c>
      <c r="E94" s="13">
        <f>HLOOKUP($D$5,'Syndicats comptes 2022'!$E$4:$AF$168,88,0)</f>
        <v>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0</v>
      </c>
    </row>
    <row r="98" spans="2:5" x14ac:dyDescent="0.2">
      <c r="C98" s="8">
        <v>425</v>
      </c>
      <c r="D98" s="8" t="s">
        <v>152</v>
      </c>
      <c r="E98" s="13">
        <f>HLOOKUP($D$5,'Syndicats comptes 2022'!$E$4:$AF$168,92,0)</f>
        <v>0</v>
      </c>
    </row>
    <row r="99" spans="2:5" x14ac:dyDescent="0.2">
      <c r="C99" s="8">
        <v>426</v>
      </c>
      <c r="D99" s="8" t="s">
        <v>153</v>
      </c>
      <c r="E99" s="13">
        <f>HLOOKUP($D$5,'Syndicats comptes 2022'!$E$4:$AF$168,93,0)</f>
        <v>0</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0</v>
      </c>
    </row>
    <row r="104" spans="2:5" x14ac:dyDescent="0.2">
      <c r="C104" s="8">
        <v>430</v>
      </c>
      <c r="D104" s="8" t="s">
        <v>157</v>
      </c>
      <c r="E104" s="13">
        <f>HLOOKUP($D$5,'Syndicats comptes 2022'!$E$4:$AF$168,98,0)</f>
        <v>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0</v>
      </c>
    </row>
    <row r="110" spans="2:5" x14ac:dyDescent="0.2">
      <c r="C110" s="8">
        <v>440</v>
      </c>
      <c r="D110" s="8" t="s">
        <v>162</v>
      </c>
      <c r="E110" s="13">
        <f>HLOOKUP($D$5,'Syndicats comptes 2022'!$E$4:$AF$168,104,0)</f>
        <v>0</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0</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0</v>
      </c>
    </row>
    <row r="124" spans="2:5" x14ac:dyDescent="0.2">
      <c r="E124" s="13"/>
    </row>
    <row r="125" spans="2:5" ht="15" x14ac:dyDescent="0.25">
      <c r="B125" s="81">
        <v>46</v>
      </c>
      <c r="C125" s="81"/>
      <c r="D125" s="81" t="s">
        <v>174</v>
      </c>
      <c r="E125" s="82">
        <f>HLOOKUP($D$5,'Syndicats comptes 2022'!$E$4:$AF$168,119,0)</f>
        <v>47268.15</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47268.15</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0</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1308.75</v>
      </c>
    </row>
    <row r="158" spans="1:5" x14ac:dyDescent="0.2">
      <c r="C158" s="8">
        <v>900</v>
      </c>
      <c r="D158" s="8" t="s">
        <v>195</v>
      </c>
      <c r="E158" s="13">
        <f>HLOOKUP($D$5,'Syndicats comptes 2022'!$E$4:$AF$168,152,0)</f>
        <v>1308.75</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1308.75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F192" sqref="F192:R192"/>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F192" sqref="F192:R192"/>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803</v>
      </c>
    </row>
    <row r="9" spans="1:3" ht="15" x14ac:dyDescent="0.25">
      <c r="A9" s="100" t="s">
        <v>215</v>
      </c>
      <c r="B9" s="100" t="s">
        <v>200</v>
      </c>
      <c r="C9" s="100" t="s">
        <v>852</v>
      </c>
    </row>
    <row r="10" spans="1:3" x14ac:dyDescent="0.2">
      <c r="A10" s="101">
        <v>90</v>
      </c>
      <c r="B10" s="102" t="s">
        <v>217</v>
      </c>
      <c r="C10" s="103">
        <f>HLOOKUP($B$6,'Syndicats comptes 2022'!$E$4:$AF$169,151,0)</f>
        <v>1308.75</v>
      </c>
    </row>
    <row r="11" spans="1:3" x14ac:dyDescent="0.2">
      <c r="A11" s="101">
        <v>900</v>
      </c>
      <c r="B11" s="102" t="s">
        <v>218</v>
      </c>
      <c r="C11" s="103">
        <f>HLOOKUP($B$6,'Syndicats comptes 2022'!$E$4:$AF$169,152,0)</f>
        <v>1308.75</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F192" sqref="F192:R19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32158129.799999997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32819040.750000004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F192" sqref="F192:R192"/>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803</v>
      </c>
    </row>
    <row r="8" spans="1:3" ht="15" x14ac:dyDescent="0.25">
      <c r="A8" s="100" t="s">
        <v>199</v>
      </c>
      <c r="B8" s="100" t="s">
        <v>200</v>
      </c>
      <c r="C8" s="100" t="s">
        <v>201</v>
      </c>
    </row>
    <row r="9" spans="1:3" x14ac:dyDescent="0.2">
      <c r="A9" s="101" t="s">
        <v>208</v>
      </c>
      <c r="B9" s="102" t="s">
        <v>202</v>
      </c>
      <c r="C9" s="103">
        <f>HLOOKUP($B$6,'Syndicats comptes 2022'!$E$4:$AF$168,164,0)</f>
        <v>45959.4</v>
      </c>
    </row>
    <row r="10" spans="1:3" x14ac:dyDescent="0.2">
      <c r="A10" s="101" t="s">
        <v>209</v>
      </c>
      <c r="B10" s="102" t="s">
        <v>203</v>
      </c>
      <c r="C10" s="103">
        <f>HLOOKUP($B$6,'Syndicats comptes 2022'!$E$4:$AF$168,165,0)</f>
        <v>47268.15</v>
      </c>
    </row>
    <row r="11" spans="1:3" ht="15" x14ac:dyDescent="0.25">
      <c r="A11" s="102"/>
      <c r="B11" s="104" t="s">
        <v>204</v>
      </c>
      <c r="C11" s="105">
        <f>C10-C9</f>
        <v>1308.75</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1308.75</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1308.75</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X191" activePane="bottomRight" state="frozen"/>
      <selection activeCell="F192" sqref="F192:R192"/>
      <selection pane="topRight" activeCell="F192" sqref="F192:R192"/>
      <selection pane="bottomLeft" activeCell="F192" sqref="F192:R192"/>
      <selection pane="bottomRight" activeCell="F192" sqref="F192:R192"/>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160166488.99000001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40376341.029999994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22948537.590000004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21839149.400000002</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3871410.87</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3495706.85</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160166488.99000001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55156526.920000009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F192" sqref="F192:R19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F192" sqref="F192:R192"/>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40376341.029999994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55156526.920000009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F192" sqref="F192:R192"/>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803</v>
      </c>
    </row>
    <row r="6" spans="1:3" ht="15" customHeight="1" x14ac:dyDescent="0.25">
      <c r="C6" s="33"/>
    </row>
    <row r="7" spans="1:3" ht="15" customHeight="1" x14ac:dyDescent="0.25">
      <c r="C7" s="144" t="s">
        <v>201</v>
      </c>
    </row>
    <row r="8" spans="1:3" x14ac:dyDescent="0.2">
      <c r="A8" s="8">
        <v>10</v>
      </c>
      <c r="B8" s="8" t="s">
        <v>239</v>
      </c>
      <c r="C8" s="13">
        <f>HLOOKUP($B$5,'Syndicats endettement'!C7:AD24,2,0)</f>
        <v>28641.399999999998</v>
      </c>
    </row>
    <row r="9" spans="1:3" x14ac:dyDescent="0.2">
      <c r="C9" s="13"/>
    </row>
    <row r="10" spans="1:3" x14ac:dyDescent="0.2">
      <c r="A10" s="8">
        <v>20</v>
      </c>
      <c r="B10" s="8" t="s">
        <v>251</v>
      </c>
      <c r="C10" s="13">
        <f>HLOOKUP($B$5,'Syndicats endettement'!$C$7:$AD$21,4,0)</f>
        <v>667.75</v>
      </c>
    </row>
    <row r="11" spans="1:3" x14ac:dyDescent="0.2">
      <c r="C11" s="13"/>
    </row>
    <row r="12" spans="1:3" x14ac:dyDescent="0.2">
      <c r="A12" s="8">
        <v>200</v>
      </c>
      <c r="B12" s="8" t="s">
        <v>448</v>
      </c>
      <c r="C12" s="13">
        <f>HLOOKUP($B$5,'Syndicats endettement'!$C$7:$AD$21,6,0)</f>
        <v>0</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0</v>
      </c>
    </row>
    <row r="22" spans="1:3" ht="15" x14ac:dyDescent="0.25">
      <c r="B22" s="140" t="s">
        <v>495</v>
      </c>
      <c r="C22" s="142">
        <f>C21-C8</f>
        <v>-28641.399999999998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2023-11-17T07:43:54Z</cp:lastPrinted>
  <dcterms:created xsi:type="dcterms:W3CDTF">2015-10-26T07:38:03Z</dcterms:created>
  <dcterms:modified xsi:type="dcterms:W3CDTF">2023-11-17T09:28:07Z</dcterms:modified>
</cp:coreProperties>
</file>