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23" activeTab="23"/>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6" i="84" l="1"/>
  <c r="B116" i="84"/>
  <c r="D119" i="84"/>
  <c r="B127" i="84"/>
  <c r="B126" i="84"/>
  <c r="B125" i="84"/>
  <c r="B124" i="84"/>
  <c r="B123" i="84"/>
  <c r="D118" i="84" l="1"/>
  <c r="D120" i="84" l="1"/>
  <c r="G121" i="84" s="1"/>
  <c r="D63" i="84"/>
  <c r="D64" i="84"/>
  <c r="D65" i="84"/>
  <c r="D66" i="84"/>
  <c r="D67" i="84"/>
  <c r="D68" i="84"/>
  <c r="D69" i="84"/>
  <c r="D70" i="84"/>
  <c r="D71" i="84"/>
  <c r="D72" i="84"/>
  <c r="D73" i="84"/>
  <c r="D74" i="84"/>
  <c r="D75" i="84"/>
  <c r="D76" i="84"/>
  <c r="D77" i="84"/>
  <c r="D78" i="84"/>
  <c r="D79" i="84"/>
  <c r="D80" i="84"/>
  <c r="D81" i="84"/>
  <c r="D82" i="84"/>
  <c r="D83" i="84"/>
  <c r="D84" i="84"/>
  <c r="D85" i="84"/>
  <c r="D86" i="84"/>
  <c r="D87" i="84"/>
  <c r="D88" i="84"/>
  <c r="D89" i="84"/>
  <c r="D90" i="84"/>
  <c r="D91" i="84"/>
  <c r="D92" i="84"/>
  <c r="D93" i="84"/>
  <c r="D94" i="84"/>
  <c r="D95" i="84"/>
  <c r="D96" i="84"/>
  <c r="D97" i="84"/>
  <c r="D98" i="84"/>
  <c r="D99" i="84"/>
  <c r="D100" i="84"/>
  <c r="D101" i="84"/>
  <c r="D102" i="84"/>
  <c r="D103" i="84"/>
  <c r="D104" i="84"/>
  <c r="D105" i="84"/>
  <c r="D106" i="84"/>
  <c r="D107" i="84"/>
  <c r="D108" i="84"/>
  <c r="D109" i="84"/>
  <c r="D110" i="84"/>
  <c r="D111" i="84"/>
  <c r="D112" i="84"/>
  <c r="D113" i="84"/>
  <c r="D114" i="84"/>
  <c r="D115" i="84"/>
  <c r="D62" i="84"/>
  <c r="V49" i="84" l="1"/>
  <c r="U49" i="84"/>
  <c r="T49" i="84"/>
  <c r="S49" i="84"/>
  <c r="S3" i="84"/>
  <c r="T3" i="84"/>
  <c r="U3" i="84"/>
  <c r="V3" i="84"/>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Y16" i="84" l="1"/>
  <c r="Y8" i="84"/>
  <c r="V4" i="84"/>
  <c r="V5" i="84"/>
  <c r="V6" i="84"/>
  <c r="V7" i="84"/>
  <c r="V8" i="84"/>
  <c r="V9" i="84"/>
  <c r="V10" i="84"/>
  <c r="V11" i="84"/>
  <c r="V12" i="84"/>
  <c r="V13" i="84"/>
  <c r="V14" i="84"/>
  <c r="V15" i="84"/>
  <c r="V16" i="84"/>
  <c r="V17" i="84"/>
  <c r="V18" i="84"/>
  <c r="V19" i="84"/>
  <c r="V20" i="84"/>
  <c r="V21" i="84"/>
  <c r="V22" i="84"/>
  <c r="V23" i="84"/>
  <c r="V24" i="84"/>
  <c r="V25" i="84"/>
  <c r="V26" i="84"/>
  <c r="V27" i="84"/>
  <c r="V28" i="84"/>
  <c r="V29" i="84"/>
  <c r="V30" i="84"/>
  <c r="V31" i="84"/>
  <c r="V32" i="84"/>
  <c r="V33" i="84"/>
  <c r="V34" i="84"/>
  <c r="V35" i="84"/>
  <c r="V36" i="84"/>
  <c r="V37" i="84"/>
  <c r="V38" i="84"/>
  <c r="V39" i="84"/>
  <c r="V40" i="84"/>
  <c r="V41" i="84"/>
  <c r="V42" i="84"/>
  <c r="V43" i="84"/>
  <c r="V44" i="84"/>
  <c r="V45" i="84"/>
  <c r="V46" i="84"/>
  <c r="V47" i="84"/>
  <c r="V48" i="84"/>
  <c r="V50" i="84"/>
  <c r="V51" i="84"/>
  <c r="V52" i="84"/>
  <c r="V53" i="84"/>
  <c r="V54" i="84"/>
  <c r="V55" i="84"/>
  <c r="V56" i="84"/>
  <c r="U4" i="84"/>
  <c r="U5" i="84"/>
  <c r="U6" i="84"/>
  <c r="U7" i="84"/>
  <c r="U8" i="84"/>
  <c r="U9" i="84"/>
  <c r="U10" i="84"/>
  <c r="U11" i="84"/>
  <c r="U12" i="84"/>
  <c r="U13" i="84"/>
  <c r="U14" i="84"/>
  <c r="U15" i="84"/>
  <c r="U16" i="84"/>
  <c r="U17" i="84"/>
  <c r="U18" i="84"/>
  <c r="U19" i="84"/>
  <c r="U20" i="84"/>
  <c r="U21" i="84"/>
  <c r="U22" i="84"/>
  <c r="U23" i="84"/>
  <c r="U24" i="84"/>
  <c r="U25" i="84"/>
  <c r="U26" i="84"/>
  <c r="U27" i="84"/>
  <c r="U28" i="84"/>
  <c r="U29" i="84"/>
  <c r="U30" i="84"/>
  <c r="U31" i="84"/>
  <c r="U32" i="84"/>
  <c r="U33" i="84"/>
  <c r="U34" i="84"/>
  <c r="U35" i="84"/>
  <c r="U36" i="84"/>
  <c r="U37" i="84"/>
  <c r="U38" i="84"/>
  <c r="U39" i="84"/>
  <c r="U40" i="84"/>
  <c r="U41" i="84"/>
  <c r="U42" i="84"/>
  <c r="U43" i="84"/>
  <c r="U44" i="84"/>
  <c r="U45" i="84"/>
  <c r="U46" i="84"/>
  <c r="U47" i="84"/>
  <c r="U48" i="84"/>
  <c r="U50" i="84"/>
  <c r="U51" i="84"/>
  <c r="U52" i="84"/>
  <c r="U53" i="84"/>
  <c r="U54" i="84"/>
  <c r="U55" i="84"/>
  <c r="U56" i="84"/>
  <c r="T4" i="84"/>
  <c r="T5" i="84"/>
  <c r="T6" i="84"/>
  <c r="T7" i="84"/>
  <c r="T8" i="84"/>
  <c r="T9" i="84"/>
  <c r="T10" i="84"/>
  <c r="T11" i="84"/>
  <c r="T12" i="84"/>
  <c r="T13" i="84"/>
  <c r="T14" i="84"/>
  <c r="T15" i="84"/>
  <c r="T16" i="84"/>
  <c r="T17" i="84"/>
  <c r="T18" i="84"/>
  <c r="T19" i="84"/>
  <c r="T20" i="84"/>
  <c r="T21" i="84"/>
  <c r="T22" i="84"/>
  <c r="T23" i="84"/>
  <c r="T24" i="84"/>
  <c r="T25" i="84"/>
  <c r="T26" i="84"/>
  <c r="T27" i="84"/>
  <c r="T28" i="84"/>
  <c r="T29" i="84"/>
  <c r="T30" i="84"/>
  <c r="T31" i="84"/>
  <c r="T32" i="84"/>
  <c r="T33" i="84"/>
  <c r="T34" i="84"/>
  <c r="T35" i="84"/>
  <c r="T36" i="84"/>
  <c r="T37" i="84"/>
  <c r="T38" i="84"/>
  <c r="T39" i="84"/>
  <c r="T40" i="84"/>
  <c r="T41" i="84"/>
  <c r="T42" i="84"/>
  <c r="T43" i="84"/>
  <c r="T44" i="84"/>
  <c r="T45" i="84"/>
  <c r="T46" i="84"/>
  <c r="T47" i="84"/>
  <c r="T48" i="84"/>
  <c r="T50" i="84"/>
  <c r="T51" i="84"/>
  <c r="T52" i="84"/>
  <c r="T53" i="84"/>
  <c r="T54" i="84"/>
  <c r="T55" i="84"/>
  <c r="T56" i="84"/>
  <c r="S4" i="84"/>
  <c r="S5" i="84"/>
  <c r="S6" i="84"/>
  <c r="S7" i="84"/>
  <c r="S8" i="84"/>
  <c r="S9" i="84"/>
  <c r="S10" i="84"/>
  <c r="Z7" i="84" s="1"/>
  <c r="S11" i="84"/>
  <c r="S12" i="84"/>
  <c r="S13" i="84"/>
  <c r="S14" i="84"/>
  <c r="S15" i="84"/>
  <c r="S16" i="84"/>
  <c r="S17" i="84"/>
  <c r="S18" i="84"/>
  <c r="S19" i="84"/>
  <c r="S20" i="84"/>
  <c r="S21" i="84"/>
  <c r="S22" i="84"/>
  <c r="S23" i="84"/>
  <c r="S24" i="84"/>
  <c r="S25" i="84"/>
  <c r="S26" i="84"/>
  <c r="S27" i="84"/>
  <c r="S28" i="84"/>
  <c r="S29" i="84"/>
  <c r="S30" i="84"/>
  <c r="S31" i="84"/>
  <c r="S32" i="84"/>
  <c r="S33" i="84"/>
  <c r="S34" i="84"/>
  <c r="S35" i="84"/>
  <c r="S36" i="84"/>
  <c r="S37" i="84"/>
  <c r="S38" i="84"/>
  <c r="S39" i="84"/>
  <c r="S40" i="84"/>
  <c r="S41" i="84"/>
  <c r="S42" i="84"/>
  <c r="S43" i="84"/>
  <c r="S44" i="84"/>
  <c r="S45" i="84"/>
  <c r="S46" i="84"/>
  <c r="S47" i="84"/>
  <c r="S48" i="84"/>
  <c r="S50" i="84"/>
  <c r="S51" i="84"/>
  <c r="S52" i="84"/>
  <c r="S53" i="84"/>
  <c r="S54" i="84"/>
  <c r="S55" i="84"/>
  <c r="S56" i="84"/>
  <c r="Z3" i="84" l="1"/>
  <c r="Z6" i="84"/>
  <c r="Z14" i="84"/>
  <c r="Z12" i="84"/>
  <c r="V59" i="84"/>
  <c r="Z11" i="84"/>
  <c r="T59" i="84"/>
  <c r="Z13" i="84"/>
  <c r="Z4" i="84"/>
  <c r="Z5" i="84"/>
  <c r="T58" i="84"/>
  <c r="U58" i="84"/>
  <c r="V58" i="84"/>
  <c r="U59" i="84"/>
  <c r="S58" i="84"/>
  <c r="S59" i="84"/>
  <c r="Z16" i="84" l="1"/>
  <c r="Z8" i="84"/>
  <c r="Z18" i="84"/>
  <c r="AE141" i="69"/>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BB8" i="32" l="1"/>
  <c r="AU24" i="32"/>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<sst xmlns="http://schemas.openxmlformats.org/spreadsheetml/2006/main" count="5689" uniqueCount="893">
  <si>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</si>
  <si>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</si>
  <si>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</si>
  <si>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</si>
  <si>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</si>
  <si>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</si>
  <si>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</si>
  <si>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</si>
  <si>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</si>
  <si>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</si>
  <si>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</si>
  <si>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</si>
  <si>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</si>
  <si>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</si>
  <si>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</si>
  <si>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</si>
  <si>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</si>
  <si>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</si>
  <si>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</si>
  <si>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</si>
  <si>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</si>
  <si>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</si>
  <si>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</si>
  <si>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</si>
  <si>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</si>
  <si>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</si>
  <si>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</si>
  <si>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</si>
  <si>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</si>
  <si>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</si>
  <si>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</si>
  <si>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</si>
  <si>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</si>
  <si>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</si>
  <si>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</si>
  <si>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</si>
  <si>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</si>
  <si>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</si>
  <si>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</si>
  <si>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</si>
  <si>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</si>
  <si>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</si>
  <si>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</si>
  <si>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</si>
  <si>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</si>
  <si>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</si>
  <si>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</si>
  <si>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</si>
  <si>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</si>
  <si>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</si>
  <si>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</si>
  <si>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</si>
  <si>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</si>
  <si>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</si>
  <si>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</si>
  <si>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</si>
  <si>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</si>
  <si>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</si>
  <si>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</si>
  <si>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</si>
  <si>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</si>
  <si>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</si>
  <si>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</si>
  <si>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</si>
  <si>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</si>
  <si>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</si>
  <si>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</si>
  <si>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</si>
  <si>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</si>
  <si>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</si>
  <si>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</si>
  <si>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</si>
  <si>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</si>
  <si>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</si>
  <si>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</si>
  <si>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</si>
  <si>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</si>
  <si>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</si>
  <si>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</si>
  <si>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</si>
  <si>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</si>
  <si>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</si>
  <si>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</si>
  <si>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</si>
  <si>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</si>
  <si>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</si>
  <si>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</si>
  <si>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</si>
  <si>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</si>
  <si>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</si>
  <si>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</si>
  <si>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</si>
  <si>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</si>
  <si>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</si>
  <si>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</si>
  <si>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</si>
  <si>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</si>
  <si>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</si>
  <si>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</si>
  <si>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</si>
  <si>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</si>
  <si>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</si>
  <si>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</si>
  <si>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</si>
  <si>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</si>
  <si>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</si>
  <si>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</si>
  <si>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</si>
  <si>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</si>
  <si>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</si>
  <si>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</si>
  <si>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</si>
  <si>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</si>
  <si>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</si>
  <si>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</si>
  <si>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</si>
  <si>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</si>
  <si>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</si>
  <si>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</si>
  <si>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</si>
  <si>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</si>
  <si>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</si>
  <si>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</si>
  <si>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</si>
  <si>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</si>
  <si>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</si>
  <si>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</si>
  <si>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</si>
  <si>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</si>
  <si>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</si>
  <si>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</si>
  <si>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</si>
  <si>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</si>
  <si>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</si>
  <si>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</si>
  <si>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</si>
  <si>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</si>
  <si>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</si>
  <si>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</si>
  <si>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</si>
  <si>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</si>
  <si>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</si>
  <si>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</si>
  <si>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</si>
  <si>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</si>
  <si>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</si>
  <si>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</si>
  <si>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</si>
  <si>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</si>
  <si>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</si>
  <si>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</si>
  <si>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</si>
  <si>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</si>
  <si>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</si>
  <si>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</si>
  <si>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</si>
  <si>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</si>
  <si>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</si>
  <si>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</si>
  <si>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</si>
  <si>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</si>
  <si>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</si>
  <si>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</si>
  <si>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</si>
  <si>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</si>
  <si>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</si>
  <si>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</si>
  <si>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</si>
  <si>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</si>
  <si>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</si>
  <si>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</si>
  <si>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</si>
  <si>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</si>
  <si>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</si>
  <si>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</si>
  <si>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</si>
  <si>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</si>
  <si>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</si>
  <si>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</si>
  <si>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</si>
  <si>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</si>
  <si>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</si>
  <si>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</si>
  <si>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</si>
  <si>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</si>
  <si>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</si>
  <si>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</si>
  <si>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</si>
  <si>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</si>
  <si>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</si>
  <si>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</si>
  <si>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</si>
  <si>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</si>
  <si>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</si>
  <si>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</si>
  <si>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</si>
  <si>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</si>
  <si>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</si>
  <si>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</si>
  <si>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</si>
  <si>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</si>
  <si>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</si>
  <si>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</si>
  <si>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</si>
  <si>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</si>
  <si>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</si>
  <si>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</si>
  <si>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</si>
  <si>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</si>
  <si>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</si>
  <si>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</si>
  <si>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</si>
  <si>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</si>
  <si>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</si>
  <si>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</si>
  <si>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</si>
  <si>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</si>
  <si>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</si>
  <si>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</si>
  <si>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</si>
  <si>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</si>
  <si>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</si>
  <si>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</si>
  <si>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</si>
  <si>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</si>
  <si>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</si>
  <si>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</si>
  <si>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</si>
  <si>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</si>
  <si>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</si>
  <si>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</si>
  <si>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</si>
  <si>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</si>
  <si>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</si>
  <si>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</si>
  <si>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</si>
  <si>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</si>
  <si>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</si>
  <si>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</si>
  <si>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</si>
  <si>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</si>
  <si>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</si>
  <si>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</si>
  <si>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</si>
  <si>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</si>
  <si>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</si>
  <si>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</si>
  <si>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</si>
  <si>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</si>
  <si>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</si>
  <si>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</si>
  <si>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</si>
  <si>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</si>
  <si>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</si>
  <si>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</si>
  <si>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</si>
  <si>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</si>
  <si>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</si>
  <si>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</si>
  <si>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</si>
  <si>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</si>
  <si>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</si>
  <si>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</si>
  <si>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</si>
  <si>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</si>
  <si>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</si>
  <si>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</si>
  <si>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</si>
  <si>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</si>
  <si>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</si>
  <si>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</si>
  <si>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</si>
  <si>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</si>
  <si>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</si>
  <si>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</si>
  <si>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</si>
  <si>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</si>
  <si>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</si>
  <si>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</si>
  <si>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</si>
  <si>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</si>
  <si>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</si>
  <si>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</si>
  <si>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</si>
  <si>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</si>
  <si>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</si>
  <si>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</si>
  <si>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</si>
  <si>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</si>
  <si>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</si>
  <si>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</si>
  <si>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</si>
  <si>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</si>
  <si>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</si>
  <si>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</si>
  <si>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</si>
  <si>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</si>
  <si>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</si>
  <si>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</si>
  <si>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</si>
  <si>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</si>
  <si>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</si>
  <si>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</si>
  <si>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</si>
  <si>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</si>
  <si>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</si>
  <si>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</si>
  <si>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</si>
  <si>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</si>
  <si>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</si>
  <si>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</si>
  <si>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</si>
  <si>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</si>
  <si>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</si>
  <si>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</si>
  <si>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</si>
  <si>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</si>
  <si>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</si>
  <si>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</si>
  <si>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</si>
  <si>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</si>
  <si>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</si>
  <si>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</si>
  <si>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</si>
  <si>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</si>
  <si>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</si>
  <si>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</si>
  <si>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</si>
  <si>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</si>
  <si>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</si>
  <si>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</si>
  <si>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</si>
  <si>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</si>
  <si>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</si>
  <si>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</si>
  <si>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</si>
  <si>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</si>
  <si>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</si>
  <si>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</si>
  <si>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</si>
  <si>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</si>
  <si>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</si>
  <si>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</si>
  <si>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</si>
  <si>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</si>
  <si>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</si>
  <si>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</si>
  <si>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</si>
  <si>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</si>
  <si>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</si>
  <si>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</si>
  <si>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</si>
  <si>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</si>
  <si>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</si>
  <si>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</si>
  <si>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</si>
  <si>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</si>
  <si>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</si>
  <si>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</si>
  <si>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</si>
  <si>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</si>
  <si>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</si>
  <si>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</si>
  <si>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</si>
  <si>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</si>
  <si>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</si>
  <si>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</si>
  <si>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</si>
  <si>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</si>
  <si>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</si>
  <si>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</si>
  <si>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</si>
  <si>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</si>
  <si>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</si>
  <si>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</si>
  <si>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</si>
  <si>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</si>
  <si>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</si>
  <si>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</si>
  <si>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</si>
  <si>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</si>
  <si>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</si>
  <si>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</si>
  <si>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</si>
  <si>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</si>
  <si>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</si>
  <si>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</si>
  <si>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</si>
  <si>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</si>
  <si>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</si>
  <si>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</si>
  <si>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</si>
  <si>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</si>
  <si>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</si>
  <si>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</si>
  <si>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</si>
  <si>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</si>
  <si>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</si>
  <si>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</si>
  <si>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</si>
  <si>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</si>
  <si>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</si>
  <si>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</si>
  <si>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</si>
  <si>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</si>
  <si>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</si>
  <si>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</si>
  <si>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</si>
  <si>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</si>
  <si>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</si>
  <si>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</si>
  <si>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</si>
  <si>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</si>
  <si>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</si>
  <si>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</si>
  <si>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</si>
  <si>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</si>
  <si>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</si>
  <si>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</si>
  <si>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</si>
  <si>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</si>
  <si>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</si>
  <si>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</si>
  <si>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</si>
  <si>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</si>
  <si>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</si>
  <si>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</si>
  <si>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</si>
  <si>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</si>
  <si>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</si>
  <si>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</si>
  <si>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</si>
  <si>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</si>
  <si>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</si>
  <si>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</si>
  <si>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</si>
  <si>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</si>
  <si>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</si>
  <si>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</si>
  <si>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</si>
  <si>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</si>
  <si>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</si>
  <si>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</si>
  <si>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</si>
  <si>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</si>
  <si>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</si>
  <si>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</si>
  <si>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</si>
  <si>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</si>
  <si>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</si>
  <si>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</si>
  <si>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</si>
  <si>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</si>
  <si>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</si>
  <si>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</si>
  <si>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</si>
  <si>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</si>
  <si>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</si>
  <si>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</si>
  <si>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</si>
  <si>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</si>
  <si>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</si>
  <si>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</si>
  <si>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</si>
  <si>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</si>
  <si>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</si>
  <si>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</si>
  <si>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</si>
  <si>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</si>
  <si>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</si>
  <si>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</si>
  <si>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</si>
  <si>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</si>
  <si>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</si>
  <si>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</si>
  <si>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</si>
  <si>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</si>
  <si>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</si>
  <si>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</si>
  <si>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</si>
  <si>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</si>
  <si>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</si>
  <si>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</si>
  <si>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</si>
  <si>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</si>
  <si>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</si>
  <si>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</si>
  <si>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</si>
  <si>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</si>
  <si>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</si>
  <si>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</si>
  <si>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</si>
  <si>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</si>
  <si>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</si>
  <si>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</si>
  <si>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</si>
  <si>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</si>
  <si>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</si>
  <si>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</si>
  <si>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</si>
  <si>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</si>
  <si>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</si>
  <si>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</si>
  <si>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</si>
  <si>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</si>
  <si>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</si>
  <si>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</si>
  <si>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</si>
  <si>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</si>
  <si>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</si>
  <si>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</si>
  <si>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</si>
  <si>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</si>
  <si>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</si>
  <si>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</si>
  <si>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</si>
  <si>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</si>
  <si>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</si>
  <si>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</si>
  <si>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</si>
  <si>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</si>
  <si>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</si>
  <si>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</si>
  <si>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</si>
  <si>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</si>
  <si>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</si>
  <si>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</si>
  <si>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</si>
  <si>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</si>
  <si>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</si>
  <si>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</si>
  <si>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</si>
  <si>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</si>
  <si>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</si>
  <si>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</si>
  <si>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</si>
  <si>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</si>
  <si>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</si>
  <si>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</si>
  <si>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</si>
  <si>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</si>
  <si>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</si>
  <si>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</si>
  <si>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</si>
  <si>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</si>
  <si>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</si>
  <si>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</si>
  <si>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</si>
  <si>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</si>
  <si>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</si>
  <si>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</si>
  <si>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</si>
  <si>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</si>
  <si>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</si>
  <si>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</si>
  <si>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</si>
  <si>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</si>
  <si>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</si>
  <si>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</si>
  <si>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</si>
  <si>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</si>
  <si>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</si>
  <si>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</si>
  <si>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</si>
  <si>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</si>
  <si>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</si>
  <si>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</si>
  <si>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</si>
  <si>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</si>
  <si>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</si>
  <si>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</si>
  <si>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</si>
  <si>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</si>
  <si>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</si>
  <si>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</si>
  <si>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</si>
  <si>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</si>
  <si>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</si>
  <si>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</si>
  <si>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</si>
  <si>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</si>
  <si>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</si>
  <si>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</si>
  <si>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</si>
  <si>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</si>
  <si>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</si>
  <si>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</si>
  <si>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</si>
  <si>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</si>
  <si>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</si>
  <si>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</si>
  <si>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</si>
  <si>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</si>
  <si>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</si>
  <si>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</si>
  <si>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</si>
  <si>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</si>
  <si>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</si>
  <si>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</si>
  <si>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</si>
  <si>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</si>
  <si>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</si>
  <si>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</si>
  <si>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</si>
  <si>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</si>
  <si>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</si>
  <si>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</si>
  <si>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</si>
  <si>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</si>
  <si>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</si>
  <si>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</si>
  <si>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</si>
  <si>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</si>
  <si>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</si>
  <si>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</si>
  <si>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</si>
  <si>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</si>
  <si>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</si>
  <si>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</si>
  <si>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</si>
  <si>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</si>
  <si>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</si>
  <si>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</si>
  <si>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</si>
  <si>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</si>
  <si>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</si>
  <si>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</si>
  <si>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</si>
  <si>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</si>
  <si>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</si>
  <si>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</si>
  <si>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</si>
  <si>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</si>
  <si>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</si>
  <si>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</si>
  <si>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</si>
  <si>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</si>
  <si>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</si>
  <si>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</si>
  <si>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</si>
  <si>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</si>
  <si>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</si>
  <si>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</si>
  <si>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</si>
  <si>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</si>
  <si>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</si>
  <si>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</si>
  <si>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</si>
  <si>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</si>
  <si>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</si>
  <si>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</si>
  <si>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</si>
  <si>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</si>
  <si>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</si>
  <si>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</si>
  <si>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</si>
  <si>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</si>
  <si>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</si>
  <si>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</si>
  <si>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</si>
  <si>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</si>
  <si>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</si>
  <si>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</si>
  <si>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</si>
  <si>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</si>
  <si>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</si>
  <si>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</si>
  <si>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</si>
  <si>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</si>
  <si>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</si>
  <si>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</si>
  <si>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</si>
  <si>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</si>
  <si>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</si>
  <si>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</si>
  <si>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</si>
  <si>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</si>
  <si>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</si>
  <si>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</si>
  <si>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</si>
  <si>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</si>
  <si>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</si>
  <si>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</si>
  <si>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</si>
  <si>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</si>
  <si>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</si>
  <si>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</si>
  <si>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</si>
  <si>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</si>
  <si>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</si>
  <si>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</si>
  <si>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</si>
  <si>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</si>
  <si>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</si>
  <si>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</si>
  <si>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</si>
  <si>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</si>
  <si>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</si>
  <si>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</si>
  <si>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</si>
  <si>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</si>
  <si>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</si>
  <si>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</si>
  <si>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</si>
  <si>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</si>
  <si>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</si>
  <si>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</si>
  <si>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</si>
  <si>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</si>
  <si>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</si>
  <si>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</si>
  <si>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</si>
  <si>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</si>
  <si>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</si>
  <si>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</si>
  <si>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</si>
  <si>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</si>
  <si>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</si>
  <si>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</si>
  <si>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</si>
  <si>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</si>
  <si>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</si>
  <si>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</si>
  <si>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</si>
  <si>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</si>
  <si>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</si>
  <si>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</si>
  <si>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</si>
  <si>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</si>
  <si>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</si>
  <si>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</si>
  <si>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</si>
  <si>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</si>
  <si>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</si>
  <si>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</si>
  <si>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</si>
  <si>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</si>
  <si>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</si>
  <si>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</si>
  <si>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</si>
  <si>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</si>
  <si>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</si>
  <si>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</si>
  <si>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</si>
  <si>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</si>
  <si>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</si>
  <si>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</si>
  <si>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</si>
  <si>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</si>
  <si>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</si>
  <si>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</si>
  <si>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</si>
  <si>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</si>
  <si>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</si>
  <si>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</si>
  <si>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</si>
  <si>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</si>
  <si>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</si>
  <si>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</si>
  <si>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</si>
  <si>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</si>
  <si>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</si>
  <si>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</si>
  <si>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</si>
  <si>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</si>
  <si>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</si>
  <si>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</si>
  <si>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</si>
  <si>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</si>
  <si>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</si>
  <si>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</si>
  <si>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</si>
  <si>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</si>
  <si>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</si>
  <si>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</si>
  <si>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</si>
  <si>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</si>
  <si>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</si>
  <si>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</si>
  <si>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</si>
  <si>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</si>
  <si>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</si>
  <si>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</si>
  <si>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</si>
  <si>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</si>
  <si>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</si>
  <si>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</si>
  <si>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</si>
  <si>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</si>
  <si>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</si>
  <si>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</si>
  <si>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</si>
  <si>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</si>
  <si>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</si>
  <si>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</si>
  <si>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</si>
  <si>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</si>
  <si>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</si>
  <si>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</si>
  <si>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</si>
  <si>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</si>
  <si>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</si>
  <si>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</si>
  <si>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</si>
  <si>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</si>
  <si>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</si>
  <si>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</si>
  <si>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</si>
  <si>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</si>
  <si>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</si>
  <si>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</si>
  <si>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</si>
  <si>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</si>
  <si>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</si>
  <si>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</si>
  <si>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</si>
  <si>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</si>
  <si>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</si>
  <si>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</si>
  <si>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</si>
  <si>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</si>
  <si>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</si>
  <si>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</si>
  <si>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</si>
  <si>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</si>
  <si>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</si>
  <si>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</si>
  <si>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</si>
  <si>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</si>
  <si>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</si>
  <si>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</si>
  <si>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</si>
  <si>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</si>
  <si>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</si>
  <si>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</si>
  <si>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</si>
  <si>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</si>
  <si>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</si>
  <si>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</si>
  <si>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</si>
  <si>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</si>
  <si>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</si>
  <si>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</si>
  <si>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</si>
  <si>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</si>
  <si>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</si>
  <si>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</si>
  <si>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</si>
  <si>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</si>
  <si>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</si>
  <si>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</si>
  <si>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</si>
  <si>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</si>
  <si>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</si>
  <si>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</si>
  <si>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</si>
  <si>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</si>
  <si>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</si>
  <si>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</si>
  <si>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</si>
  <si>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</si>
  <si>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</si>
  <si>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</si>
  <si>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</si>
  <si>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</si>
  <si>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</si>
  <si>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</si>
  <si>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</si>
  <si>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</si>
  <si>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</si>
  <si>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</si>
  <si>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</si>
  <si>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</si>
  <si>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</si>
  <si>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</si>
  <si>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</si>
  <si>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</si>
  <si>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</si>
  <si>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</si>
  <si>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</si>
  <si>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</si>
  <si>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</si>
  <si>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</si>
  <si>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</si>
  <si>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</si>
  <si>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</si>
  <si>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</si>
  <si>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</si>
  <si>
    <t>Evolution 2022-2023</t>
  </si>
  <si>
    <t>0 a 100 m</t>
  </si>
  <si>
    <t>100 à 500 m</t>
  </si>
  <si>
    <t>500 à 1 m</t>
  </si>
  <si>
    <t>1 à 10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</si>
</sst>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9">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 fillId="0" borderId="0" xfId="0" applyFont="1" applyAlignment="1">
      <alignment horizontal="center"/>
    </xf>
    <xf numFmtId="0" fontId="1" fillId="0" borderId="0" xfId="0" applyFont="1" applyAlignment="1">
      <alignment horizontal="center"/>
    </xf>
    <xf numFmtId="0" fontId="1" fillId="0" borderId="0" xfId="0" applyFont="1" applyAlignme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(31.12.2023)</a:t>
            </a:r>
            <a:endParaRPr lang="fr-CH"/>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0</xdr:colOff>
      <xdr:row>35</xdr:row>
      <xdr:rowOff>176211</xdr:rowOff>
    </xdr:from>
    <xdr:to>
      <xdr:col>10</xdr:col>
      <xdr:colOff>761999</xdr:colOff>
      <xdr:row>57</xdr:row>
      <xdr:rowOff>0</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9" t="s">
        <v>719</v>
      </c>
      <c r="H2" s="220"/>
      <c r="I2" s="220"/>
      <c r="J2" s="220"/>
      <c r="K2" s="221"/>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J192"/>
  <sheetViews>
    <sheetView zoomScale="115" zoomScaleNormal="115" workbookViewId="0">
      <pane xSplit="4" ySplit="4" topLeftCell="AR14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62"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62"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62"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62"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62"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62"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62"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62"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62"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62"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62"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c r="BJ155" s="19"/>
    </row>
    <row r="156" spans="1:62"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62"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62"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62"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62"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19"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topLeftCell="A34"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5" t="s">
        <v>581</v>
      </c>
      <c r="C5" s="225"/>
      <c r="D5" s="225"/>
    </row>
    <row r="6" spans="1:5" ht="15.75" thickBot="1" x14ac:dyDescent="0.3">
      <c r="B6" s="222" t="s">
        <v>23</v>
      </c>
      <c r="C6" s="223"/>
      <c r="D6" s="224"/>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AS17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8038184.3399999999</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942767636.84000039</v>
      </c>
      <c r="BF5" s="115">
        <f t="shared" ref="BF5:BF13" si="2">SUM(F5:X5)</f>
        <v>464075717.09000003</v>
      </c>
      <c r="BG5" s="115">
        <f t="shared" ref="BG5:BG13" si="3">SUM(Y5:AJ5)</f>
        <v>147691840.05000001</v>
      </c>
      <c r="BH5" s="115">
        <f t="shared" ref="BH5:BH13" si="4">SUM(AK5:BD5)</f>
        <v>331000079.69999999</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2665919.1399999997</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350151521.93000001</v>
      </c>
      <c r="BF6" s="117">
        <f t="shared" si="2"/>
        <v>159811338.44000003</v>
      </c>
      <c r="BG6" s="117">
        <f t="shared" si="3"/>
        <v>73055839.350000009</v>
      </c>
      <c r="BH6" s="117">
        <f t="shared" si="4"/>
        <v>117284344.14000003</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749948.47</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89058117.439999983</v>
      </c>
      <c r="BF7" s="107">
        <f t="shared" si="2"/>
        <v>31878835.880000006</v>
      </c>
      <c r="BG7" s="107">
        <f t="shared" si="3"/>
        <v>25036631.350000001</v>
      </c>
      <c r="BH7" s="107">
        <f t="shared" si="4"/>
        <v>32142650.209999997</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2785.6</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150719.96</v>
      </c>
      <c r="BF8" s="95">
        <f t="shared" si="2"/>
        <v>60559.56</v>
      </c>
      <c r="BG8" s="95">
        <f t="shared" si="3"/>
        <v>40330.15</v>
      </c>
      <c r="BH8" s="95">
        <f t="shared" si="4"/>
        <v>49830.249999999993</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247182.73</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24063206.199999996</v>
      </c>
      <c r="BF9" s="95">
        <f t="shared" si="2"/>
        <v>11887137.119999997</v>
      </c>
      <c r="BG9" s="95">
        <f t="shared" si="3"/>
        <v>5979907.6200000001</v>
      </c>
      <c r="BH9" s="95">
        <f t="shared" si="4"/>
        <v>6196161.459999999</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499980.14</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61774597.179999992</v>
      </c>
      <c r="BF10" s="95">
        <f t="shared" si="2"/>
        <v>19431139.199999996</v>
      </c>
      <c r="BG10" s="95">
        <f t="shared" si="3"/>
        <v>16514412.98</v>
      </c>
      <c r="BH10" s="95">
        <f t="shared" si="4"/>
        <v>25829045</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695557.5199999999</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87233402.230000019</v>
      </c>
      <c r="BF15" s="107">
        <f t="shared" ref="BF15:BF23" si="9">SUM(F15:X15)</f>
        <v>42359421.349999987</v>
      </c>
      <c r="BG15" s="107">
        <f t="shared" ref="BG15:BG29" si="10">SUM(Y15:AJ15)</f>
        <v>11267157.200000001</v>
      </c>
      <c r="BH15" s="107">
        <f t="shared" ref="BH15:BH23" si="11">SUM(AK15:BD15)</f>
        <v>33606823.68</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130402.45</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35491360.460000001</v>
      </c>
      <c r="BF16" s="95">
        <f t="shared" si="9"/>
        <v>19894578.5</v>
      </c>
      <c r="BG16" s="95">
        <f t="shared" si="10"/>
        <v>6158705.790000001</v>
      </c>
      <c r="BH16" s="95">
        <f t="shared" si="11"/>
        <v>9438076.1699999999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561115.11</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43259090.660000004</v>
      </c>
      <c r="BF18" s="95">
        <f t="shared" si="9"/>
        <v>17737987.489999998</v>
      </c>
      <c r="BG18" s="95">
        <f t="shared" si="10"/>
        <v>3824976.1700000004</v>
      </c>
      <c r="BH18" s="95">
        <f t="shared" si="11"/>
        <v>21696127</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4039.96</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596270.63</v>
      </c>
      <c r="BF23" s="95">
        <f t="shared" si="9"/>
        <v>371242.17999999993</v>
      </c>
      <c r="BG23" s="95">
        <f t="shared" si="10"/>
        <v>142481.64000000001</v>
      </c>
      <c r="BH23" s="95">
        <f t="shared" si="11"/>
        <v>82546.809999999983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136938.5</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31205371.599999998</v>
      </c>
      <c r="BF31" s="107">
        <f t="shared" ref="BF31:BF39" si="15">SUM(F31:X31)</f>
        <v>17775692.319999993</v>
      </c>
      <c r="BG31" s="107">
        <f t="shared" ref="BG31:BG39" si="16">SUM(Y31:AJ31)</f>
        <v>3056237.73</v>
      </c>
      <c r="BH31" s="107">
        <f t="shared" ref="BH31:BH39" si="17">SUM(AK31:BD31)</f>
        <v>10373441.549999999</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134013.95000000001</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10228043.880000001</v>
      </c>
      <c r="BF33" s="95">
        <f t="shared" si="15"/>
        <v>4705444.8699999992</v>
      </c>
      <c r="BG33" s="95">
        <f t="shared" si="16"/>
        <v>1721625.9799999995</v>
      </c>
      <c r="BH33" s="95">
        <f t="shared" si="17"/>
        <v>3800973.03</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2924.55</v>
      </c>
      <c r="AT35" s="13">
        <v>294001.18</v>
      </c>
      <c r="AU35" s="13">
        <v>14162</v>
      </c>
      <c r="AV35" s="13">
        <v>-3897.75</v>
      </c>
      <c r="AW35" s="13">
        <v>0</v>
      </c>
      <c r="AX35" s="13">
        <v>0</v>
      </c>
      <c r="AY35" s="13">
        <v>10300.66</v>
      </c>
      <c r="AZ35" s="13">
        <v>0</v>
      </c>
      <c r="BA35" s="13">
        <v>0</v>
      </c>
      <c r="BB35" s="13">
        <v>31297.65</v>
      </c>
      <c r="BC35" s="13">
        <v>2015236.48</v>
      </c>
      <c r="BD35" s="13">
        <v>47411.77</v>
      </c>
      <c r="BE35" s="95">
        <f t="shared" si="14"/>
        <v>10748421.460000003</v>
      </c>
      <c r="BF35" s="95">
        <f t="shared" si="15"/>
        <v>6448933.9900000021</v>
      </c>
      <c r="BG35" s="95">
        <f t="shared" si="16"/>
        <v>785664.70000000007</v>
      </c>
      <c r="BH35" s="95">
        <f t="shared" si="17"/>
        <v>3513822.77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373750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29852770.860000003</v>
      </c>
      <c r="BF48" s="107">
        <f>SUM(F48:X48)</f>
        <v>4108257.96</v>
      </c>
      <c r="BG48" s="107">
        <f>SUM(Y48:AJ48)</f>
        <v>23946875.900000002</v>
      </c>
      <c r="BH48" s="107">
        <f>SUM(AK48:BD48)</f>
        <v>1797637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373750</v>
      </c>
      <c r="AT49" s="13">
        <v>0</v>
      </c>
      <c r="AU49" s="13">
        <v>1</v>
      </c>
      <c r="AV49" s="13">
        <v>9</v>
      </c>
      <c r="AW49" s="13">
        <v>105600</v>
      </c>
      <c r="AX49" s="13">
        <v>0</v>
      </c>
      <c r="AY49" s="13">
        <v>1505</v>
      </c>
      <c r="AZ49" s="13">
        <v>163200</v>
      </c>
      <c r="BA49" s="13">
        <v>1200</v>
      </c>
      <c r="BB49" s="13">
        <v>74380</v>
      </c>
      <c r="BC49" s="13">
        <v>869001</v>
      </c>
      <c r="BD49" s="13">
        <v>5</v>
      </c>
      <c r="BE49" s="95">
        <f>SUM(F49:BD49)</f>
        <v>5167729.4000000004</v>
      </c>
      <c r="BF49" s="95">
        <f>SUM(F49:X49)</f>
        <v>1580046.4000000001</v>
      </c>
      <c r="BG49" s="95">
        <f>SUM(Y49:AJ49)</f>
        <v>1882046</v>
      </c>
      <c r="BH49" s="95">
        <f>SUM(AK49:BD49)</f>
        <v>1705637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709724.65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110145632.62</v>
      </c>
      <c r="BF54" s="107">
        <f t="shared" ref="BF54:BF60" si="26">SUM(F54:X54)</f>
        <v>63075704.850000001</v>
      </c>
      <c r="BG54" s="107">
        <f t="shared" ref="BG54:BG60" si="27">SUM(Y54:AJ54)</f>
        <v>7752066.2000000002</v>
      </c>
      <c r="BH54" s="107">
        <f t="shared" ref="BH54:BH60" si="28">SUM(AK54:BD54)</f>
        <v>39317861.569999993</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115797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41147057.489999995</v>
      </c>
      <c r="BF55" s="95">
        <f t="shared" si="26"/>
        <v>20962107.919999998</v>
      </c>
      <c r="BG55" s="95">
        <f t="shared" si="27"/>
        <v>2770115.25</v>
      </c>
      <c r="BH55" s="95">
        <f t="shared" si="28"/>
        <v>17414834.32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593927.65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67998828.280000016</v>
      </c>
      <c r="BF56" s="95">
        <f t="shared" si="26"/>
        <v>41445890.030000009</v>
      </c>
      <c r="BG56" s="95">
        <f t="shared" si="27"/>
        <v>4710706.5500000007</v>
      </c>
      <c r="BH56" s="95">
        <f t="shared" si="28"/>
        <v>21842231.699999999</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5372265.2000000002</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592616114.90999985</v>
      </c>
      <c r="BF68" s="119">
        <f t="shared" ref="BF68:BF78" si="32">SUM(F68:X68)</f>
        <v>304264378.64999998</v>
      </c>
      <c r="BG68" s="119">
        <f t="shared" ref="BG68:BG78" si="33">SUM(Y68:AJ68)</f>
        <v>74636000.699999988</v>
      </c>
      <c r="BH68" s="119">
        <f t="shared" ref="BH68:BH78" si="34">SUM(AK68:BD68)</f>
        <v>213715735.56000003</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5129486.25</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566276554.8599999</v>
      </c>
      <c r="BF69" s="107">
        <f t="shared" si="32"/>
        <v>291056640.51999998</v>
      </c>
      <c r="BG69" s="107">
        <f t="shared" si="33"/>
        <v>71864922.629999995</v>
      </c>
      <c r="BH69" s="107">
        <f t="shared" si="34"/>
        <v>203354991.71000004</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126320.65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26993575.079999991</v>
      </c>
      <c r="BF70" s="95">
        <f t="shared" si="32"/>
        <v>8096785.2700000005</v>
      </c>
      <c r="BG70" s="95">
        <f t="shared" si="33"/>
        <v>10417608.41</v>
      </c>
      <c r="BH70" s="95">
        <f t="shared" si="34"/>
        <v>8479181.4000000004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838697.55</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113549690.77000001</v>
      </c>
      <c r="BF71" s="95">
        <f t="shared" si="32"/>
        <v>52940072.629999995</v>
      </c>
      <c r="BG71" s="95">
        <f t="shared" si="33"/>
        <v>14263294.83</v>
      </c>
      <c r="BH71" s="95">
        <f t="shared" si="34"/>
        <v>46346323.309999995</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1750580.5</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123718210.14999999</v>
      </c>
      <c r="BF73" s="95">
        <f t="shared" si="32"/>
        <v>73382409.189999983</v>
      </c>
      <c r="BG73" s="95">
        <f t="shared" si="33"/>
        <v>10743886.48</v>
      </c>
      <c r="BH73" s="95">
        <f t="shared" si="34"/>
        <v>39591914.479999997</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1355187.55</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213551701.26000002</v>
      </c>
      <c r="BF74" s="95">
        <f t="shared" si="32"/>
        <v>119807670.08999999</v>
      </c>
      <c r="BG74" s="95">
        <f t="shared" si="33"/>
        <v>23638493.550000001</v>
      </c>
      <c r="BH74" s="95">
        <f t="shared" si="34"/>
        <v>70105537.620000005</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1043700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34419215.760000005</v>
      </c>
      <c r="BF75" s="95">
        <f t="shared" si="32"/>
        <v>583250</v>
      </c>
      <c r="BG75" s="95">
        <f t="shared" si="33"/>
        <v>8498315.459999999</v>
      </c>
      <c r="BH75" s="95">
        <f t="shared" si="34"/>
        <v>25337650.300000001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15000</v>
      </c>
      <c r="AT76" s="13">
        <v>82132.2</v>
      </c>
      <c r="AU76" s="13">
        <v>1</v>
      </c>
      <c r="AV76" s="13">
        <v>179330</v>
      </c>
      <c r="AW76" s="13">
        <v>35601.22</v>
      </c>
      <c r="AX76" s="13">
        <v>1</v>
      </c>
      <c r="AY76" s="13">
        <v>1</v>
      </c>
      <c r="AZ76" s="13">
        <v>112960</v>
      </c>
      <c r="BA76" s="13">
        <v>0</v>
      </c>
      <c r="BB76" s="13">
        <v>2677.07</v>
      </c>
      <c r="BC76" s="13">
        <v>997648.59</v>
      </c>
      <c r="BD76" s="13">
        <v>3</v>
      </c>
      <c r="BE76" s="95">
        <f t="shared" si="31"/>
        <v>8908848.0200000014</v>
      </c>
      <c r="BF76" s="95">
        <f t="shared" si="32"/>
        <v>5487286.3500000006</v>
      </c>
      <c r="BG76" s="95">
        <f t="shared" si="33"/>
        <v>1246895.75</v>
      </c>
      <c r="BH76" s="95">
        <f t="shared" si="34"/>
        <v>2174665.92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103977.95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9280077.1700000018</v>
      </c>
      <c r="BF80" s="107">
        <f>SUM(F80:X80)</f>
        <v>3805390.41</v>
      </c>
      <c r="BG80" s="107">
        <f>SUM(Y80:AJ80)</f>
        <v>1272922.3999999999</v>
      </c>
      <c r="BH80" s="107">
        <f>SUM(AK80:BD80)</f>
        <v>4201764.3600000003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103977.95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5667998.1700000009</v>
      </c>
      <c r="BF84" s="95">
        <f>SUM(F84:X84)</f>
        <v>2386473.29</v>
      </c>
      <c r="BG84" s="95">
        <f>SUM(Y84:AJ84)</f>
        <v>466154.38</v>
      </c>
      <c r="BH84" s="95">
        <f>SUM(AK84:BD84)</f>
        <v>2815370.5</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16899</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9463599.589999998</v>
      </c>
      <c r="BF108" s="107">
        <f t="shared" ref="BF108:BF118" si="50">SUM(F108:X108)</f>
        <v>7842192.7199999988</v>
      </c>
      <c r="BG108" s="107">
        <f t="shared" ref="BG108:BG118" si="51">SUM(Y108:AJ108)</f>
        <v>366797.27</v>
      </c>
      <c r="BH108" s="107">
        <f t="shared" ref="BH108:BH118" si="52">SUM(AK108:BD108)</f>
        <v>1254609.6000000001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16899</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9130896.2899999991</v>
      </c>
      <c r="BF111" s="95">
        <f t="shared" si="50"/>
        <v>7565889.419999999</v>
      </c>
      <c r="BG111" s="95">
        <f t="shared" si="51"/>
        <v>352397.27</v>
      </c>
      <c r="BH111" s="95">
        <f t="shared" si="52"/>
        <v>1212609.6000000001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8038184.3399999999</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942767636.84000039</v>
      </c>
      <c r="BF121" s="120">
        <f t="shared" ref="BF121:BF131" si="55">SUM(F121:X121)</f>
        <v>464075717.09000003</v>
      </c>
      <c r="BG121" s="120">
        <f t="shared" ref="BG121:BG131" si="56">SUM(Y121:AJ121)</f>
        <v>147691840.05000001</v>
      </c>
      <c r="BH121" s="120">
        <f t="shared" ref="BH121:BH131" si="57">SUM(AK121:BD121)</f>
        <v>331000079.69999999</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6179743.5200000005</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649769652.11999989</v>
      </c>
      <c r="BF122" s="122">
        <f t="shared" si="55"/>
        <v>360603444.75</v>
      </c>
      <c r="BG122" s="122">
        <f t="shared" si="56"/>
        <v>65409225.380000003</v>
      </c>
      <c r="BH122" s="122">
        <f t="shared" si="57"/>
        <v>223756981.98999998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1281127.6599999999</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38435133.920000002</v>
      </c>
      <c r="BF123" s="124">
        <f t="shared" si="55"/>
        <v>22207179.450000003</v>
      </c>
      <c r="BG123" s="124">
        <f t="shared" si="56"/>
        <v>6714531.5799999991</v>
      </c>
      <c r="BH123" s="124">
        <f t="shared" si="57"/>
        <v>9513422.8899999987</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1281127.6599999999</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33792594.329999998</v>
      </c>
      <c r="BF124" s="95">
        <f t="shared" si="55"/>
        <v>20264806.73</v>
      </c>
      <c r="BG124" s="95">
        <f t="shared" si="56"/>
        <v>3974531.4</v>
      </c>
      <c r="BH124" s="95">
        <f t="shared" si="57"/>
        <v>9553256.2000000011</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0</v>
      </c>
      <c r="AT126" s="13">
        <v>9593.9</v>
      </c>
      <c r="AU126" s="13">
        <v>0</v>
      </c>
      <c r="AV126" s="13">
        <v>-10865.4</v>
      </c>
      <c r="AW126" s="13">
        <v>0</v>
      </c>
      <c r="AX126" s="13">
        <v>0</v>
      </c>
      <c r="AY126" s="13">
        <v>-5234.12</v>
      </c>
      <c r="AZ126" s="13">
        <v>0</v>
      </c>
      <c r="BA126" s="13">
        <v>0</v>
      </c>
      <c r="BB126" s="13">
        <v>17742.3</v>
      </c>
      <c r="BC126" s="13">
        <v>183.08</v>
      </c>
      <c r="BD126" s="13">
        <v>39894.01</v>
      </c>
      <c r="BE126" s="95">
        <f t="shared" si="54"/>
        <v>2348125.84</v>
      </c>
      <c r="BF126" s="95">
        <f t="shared" si="55"/>
        <v>488282.75000000006</v>
      </c>
      <c r="BG126" s="95">
        <f t="shared" si="56"/>
        <v>1762613.27</v>
      </c>
      <c r="BH126" s="95">
        <f t="shared" si="57"/>
        <v>97229.82</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387420.33999999997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106301675.50000003</v>
      </c>
      <c r="BF133" s="124">
        <f t="shared" ref="BF133:BF141" si="62">SUM(F133:X133)</f>
        <v>78328970.630000025</v>
      </c>
      <c r="BG133" s="124">
        <f t="shared" ref="BG133:BG141" si="63">SUM(Y133:AJ133)</f>
        <v>6643684.2599999998</v>
      </c>
      <c r="BH133" s="124">
        <f t="shared" ref="BH133:BH141" si="64">SUM(AK133:BD133)</f>
        <v>21329020.610000003</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184990.34</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35668913.119999997</v>
      </c>
      <c r="BF134" s="95">
        <f t="shared" si="62"/>
        <v>27889243.409999996</v>
      </c>
      <c r="BG134" s="95">
        <f t="shared" si="63"/>
        <v>1787293.7000000002</v>
      </c>
      <c r="BH134" s="95">
        <f t="shared" si="64"/>
        <v>5992376.0099999998</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202430</v>
      </c>
      <c r="AT138" s="13">
        <v>301720</v>
      </c>
      <c r="AU138" s="13">
        <v>19300</v>
      </c>
      <c r="AV138" s="13">
        <v>0</v>
      </c>
      <c r="AW138" s="13">
        <v>147300</v>
      </c>
      <c r="AX138" s="13">
        <v>0</v>
      </c>
      <c r="AY138" s="13">
        <v>0</v>
      </c>
      <c r="AZ138" s="13">
        <v>0</v>
      </c>
      <c r="BA138" s="13">
        <v>0</v>
      </c>
      <c r="BB138" s="13">
        <v>1175260</v>
      </c>
      <c r="BC138" s="13">
        <v>10415200</v>
      </c>
      <c r="BD138" s="13">
        <v>168085</v>
      </c>
      <c r="BE138" s="95">
        <f t="shared" si="61"/>
        <v>59574662.359999999</v>
      </c>
      <c r="BF138" s="95">
        <f t="shared" si="62"/>
        <v>40500251.899999999</v>
      </c>
      <c r="BG138" s="95">
        <f t="shared" si="63"/>
        <v>4447925.46</v>
      </c>
      <c r="BH138" s="95">
        <f t="shared" si="64"/>
        <v>14626485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2470</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14724185.379999999</v>
      </c>
      <c r="BF143" s="124">
        <f t="shared" ref="BF143:BF151" si="67">SUM(F143:X143)</f>
        <v>6308518.9800000023</v>
      </c>
      <c r="BG143" s="124">
        <f t="shared" ref="BG143:BG151" si="68">SUM(Y143:AJ143)</f>
        <v>3369079.0700000003</v>
      </c>
      <c r="BH143" s="124">
        <f t="shared" ref="BH143:BH151" si="69">SUM(AK143:BD143)</f>
        <v>5046587.33</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2470</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8328658.1900000004</v>
      </c>
      <c r="BF145" s="95">
        <f t="shared" si="67"/>
        <v>3474380.4899999998</v>
      </c>
      <c r="BG145" s="95">
        <f t="shared" si="68"/>
        <v>2754348.2</v>
      </c>
      <c r="BH145" s="95">
        <f t="shared" si="69"/>
        <v>2099929.5</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22000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1196275.9000000001</v>
      </c>
      <c r="BF153" s="124">
        <f t="shared" ref="BF153:BF163" si="72">SUM(F153:X153)</f>
        <v>879012.25000000012</v>
      </c>
      <c r="BG153" s="124">
        <f t="shared" ref="BG153:BG163" si="73">SUM(Y153:AJ153)</f>
        <v>187781.66999999998</v>
      </c>
      <c r="BH153" s="124">
        <f t="shared" ref="BH153:BH163" si="74">SUM(AK153:BD153)</f>
        <v>129481.98000000001</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22000</v>
      </c>
      <c r="AT154" s="13">
        <v>0</v>
      </c>
      <c r="AU154" s="13">
        <v>0</v>
      </c>
      <c r="AV154" s="13">
        <v>44532.6</v>
      </c>
      <c r="AW154" s="13">
        <v>14061</v>
      </c>
      <c r="AX154" s="13">
        <v>0</v>
      </c>
      <c r="AY154" s="13">
        <v>0</v>
      </c>
      <c r="AZ154" s="13">
        <v>0</v>
      </c>
      <c r="BA154" s="13">
        <v>0</v>
      </c>
      <c r="BB154" s="13">
        <v>0</v>
      </c>
      <c r="BC154" s="13">
        <v>0</v>
      </c>
      <c r="BD154" s="13">
        <v>0</v>
      </c>
      <c r="BE154" s="95">
        <f t="shared" si="71"/>
        <v>1094216.6700000002</v>
      </c>
      <c r="BF154" s="95">
        <f t="shared" si="72"/>
        <v>825841.4</v>
      </c>
      <c r="BG154" s="95">
        <f t="shared" si="73"/>
        <v>187781.66999999998</v>
      </c>
      <c r="BH154" s="95">
        <f t="shared" si="74"/>
        <v>80593.600000000006</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4471930.95</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471478946.4199999</v>
      </c>
      <c r="BF165" s="124">
        <f t="shared" ref="BF165:BF171" si="77">SUM(F165:X165)</f>
        <v>247424808.08000001</v>
      </c>
      <c r="BG165" s="124">
        <f t="shared" ref="BG165:BG171" si="78">SUM(Y165:AJ165)</f>
        <v>38340198.609999999</v>
      </c>
      <c r="BH165" s="124">
        <f t="shared" ref="BH165:BH171" si="79">SUM(AK165:BD165)</f>
        <v>185713939.73000002</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4525940.95</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254769400.34999999</v>
      </c>
      <c r="BF168" s="95">
        <f t="shared" si="77"/>
        <v>65732411.059999995</v>
      </c>
      <c r="BG168" s="95">
        <f t="shared" si="78"/>
        <v>20801946.460000001</v>
      </c>
      <c r="BH168" s="95">
        <f t="shared" si="79"/>
        <v>168235042.83000001</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-54010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190263928.41999999</v>
      </c>
      <c r="BF169" s="95">
        <f t="shared" si="77"/>
        <v>176311090.91999999</v>
      </c>
      <c r="BG169" s="95">
        <f t="shared" si="78"/>
        <v>362834</v>
      </c>
      <c r="BH169" s="95">
        <f t="shared" si="79"/>
        <v>13590003.5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14794.57</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8986621.9299999978</v>
      </c>
      <c r="BF184" s="124">
        <f>SUM(F184:X184)</f>
        <v>5176509.0399999991</v>
      </c>
      <c r="BG184" s="124">
        <f>SUM(Y184:AJ184)</f>
        <v>1950583.44</v>
      </c>
      <c r="BH184" s="124">
        <f>SUM(AK184:BD184)</f>
        <v>1859529.4500000002</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14794.57</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8898173.8599999975</v>
      </c>
      <c r="BF186" s="95">
        <f>SUM(F186:X186)</f>
        <v>5176509.0399999991</v>
      </c>
      <c r="BG186" s="95">
        <f>SUM(Y186:AJ186)</f>
        <v>1862135.3699999999</v>
      </c>
      <c r="BH186" s="95">
        <f>SUM(AK186:BD186)</f>
        <v>1859529.4500000002</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1858440.82</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292997984.72000009</v>
      </c>
      <c r="BF190" s="122">
        <f t="shared" si="86"/>
        <v>103472272.33999999</v>
      </c>
      <c r="BG190" s="122">
        <f t="shared" si="86"/>
        <v>82282614.670000002</v>
      </c>
      <c r="BH190" s="122">
        <f t="shared" si="86"/>
        <v>107243097.70999998</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1377751.34</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114021746.03000005</v>
      </c>
      <c r="BF191" s="124">
        <f>SUM(F191:X191)</f>
        <v>60081043.869999997</v>
      </c>
      <c r="BG191" s="124">
        <f>SUM(Y191:AJ191)</f>
        <v>21924727.710000001</v>
      </c>
      <c r="BH191" s="124">
        <f>SUM(AK191:BD191)</f>
        <v>32015974.449999996</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1377751.34</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114021746.03000005</v>
      </c>
      <c r="BF192" s="95">
        <f>SUM(F192:X192)</f>
        <v>60081043.869999997</v>
      </c>
      <c r="BG192" s="95">
        <f>SUM(Y192:AJ192)</f>
        <v>21924727.710000001</v>
      </c>
      <c r="BH192" s="95">
        <f>SUM(AK192:BD192)</f>
        <v>32015974.449999996</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16899</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6577750.9199999999</v>
      </c>
      <c r="BF207" s="124">
        <f>SUM(F207:X207)</f>
        <v>6233943.3200000003</v>
      </c>
      <c r="BG207" s="124">
        <f>SUM(Y207:AJ207)</f>
        <v>0</v>
      </c>
      <c r="BH207" s="124">
        <f>SUM(AK207:BD207)</f>
        <v>343807.6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16899</v>
      </c>
      <c r="AT208" s="13">
        <v>0</v>
      </c>
      <c r="AU208" s="13">
        <v>14782</v>
      </c>
      <c r="AV208" s="13">
        <v>0</v>
      </c>
      <c r="AW208" s="13">
        <v>26802</v>
      </c>
      <c r="AX208" s="13">
        <v>61431</v>
      </c>
      <c r="AY208" s="13">
        <v>13197</v>
      </c>
      <c r="AZ208" s="13">
        <v>68614</v>
      </c>
      <c r="BA208" s="13">
        <v>13700</v>
      </c>
      <c r="BB208" s="13">
        <v>46536.6</v>
      </c>
      <c r="BC208" s="13">
        <v>0</v>
      </c>
      <c r="BD208" s="13">
        <v>25680</v>
      </c>
      <c r="BE208" s="95">
        <f>SUM(F208:BD208)</f>
        <v>6577750.9199999999</v>
      </c>
      <c r="BF208" s="95">
        <f>SUM(F208:X208)</f>
        <v>6233943.3200000003</v>
      </c>
      <c r="BG208" s="95">
        <f>SUM(Y208:AJ208)</f>
        <v>0</v>
      </c>
      <c r="BH208" s="95">
        <f>SUM(AK208:BD208)</f>
        <v>343807.6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188790.47999999998</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107747885.65000004</v>
      </c>
      <c r="BF216" s="194">
        <f>SUM(F216:X216)</f>
        <v>18519776.409999996</v>
      </c>
      <c r="BG216" s="194">
        <f>SUM(Y216:AJ216)</f>
        <v>43032996.629999995</v>
      </c>
      <c r="BH216" s="194">
        <f>SUM(AK216:BD216)</f>
        <v>46195112.609999992</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-69298.039999999994</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2933101.0899999989</v>
      </c>
      <c r="BF217" s="125">
        <f>SUM(F217:X217)</f>
        <v>-1846902.87</v>
      </c>
      <c r="BG217" s="125">
        <f>SUM(Y217:AJ217)</f>
        <v>4743624.4000000004</v>
      </c>
      <c r="BH217" s="125">
        <f>SUM(AK217:BD217)</f>
        <v>36379.56</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258088.52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104814784.55999999</v>
      </c>
      <c r="BF218" s="125">
        <f>SUM(F218:X218)</f>
        <v>20366679.279999997</v>
      </c>
      <c r="BG218" s="125">
        <f>SUM(Y218:AJ218)</f>
        <v>38289372.229999997</v>
      </c>
      <c r="BH218" s="125">
        <f>SUM(AK218:BD218)</f>
        <v>46158733.050000004</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-69298.039999999994</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2933101.0899999989</v>
      </c>
      <c r="BF222" s="13">
        <f t="shared" si="96"/>
        <v>-1846902.87</v>
      </c>
      <c r="BG222" s="13">
        <f t="shared" si="96"/>
        <v>4743624.4000000004</v>
      </c>
      <c r="BH222" s="13">
        <f t="shared" si="96"/>
        <v>36379.56</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-171344.34</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7044100.8399999999</v>
      </c>
      <c r="BF224" s="82">
        <f t="shared" si="97"/>
        <v>588117.79</v>
      </c>
      <c r="BG224" s="82">
        <f t="shared" si="97"/>
        <v>5859028.6000000006</v>
      </c>
      <c r="BH224" s="82">
        <f t="shared" si="97"/>
        <v>596954.44999999995</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188790.47999999998</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107747885.65000004</v>
      </c>
      <c r="BF230" s="19">
        <f t="shared" si="99"/>
        <v>18519776.409999996</v>
      </c>
      <c r="BG230" s="19">
        <f t="shared" si="99"/>
        <v>43032996.629999995</v>
      </c>
      <c r="BH230" s="19">
        <f t="shared" si="99"/>
        <v>46195112.609999992</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1377751.34</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114021746.03000005</v>
      </c>
      <c r="BF231" s="19">
        <f t="shared" si="100"/>
        <v>60081043.869999997</v>
      </c>
      <c r="BG231" s="19">
        <f t="shared" si="100"/>
        <v>21924727.710000001</v>
      </c>
      <c r="BH231" s="19">
        <f t="shared" si="100"/>
        <v>32015974.449999996</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1566541.82</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221769631.68000007</v>
      </c>
      <c r="BF232" s="19">
        <f t="shared" si="101"/>
        <v>78600820.280000001</v>
      </c>
      <c r="BG232" s="19">
        <f t="shared" si="101"/>
        <v>64957724.339999996</v>
      </c>
      <c r="BH232" s="19">
        <f t="shared" si="101"/>
        <v>78211087.059999987</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942767636.84000039</v>
      </c>
    </row>
    <row r="6" spans="1:6" ht="15" x14ac:dyDescent="0.25">
      <c r="A6" s="16"/>
      <c r="B6" s="116">
        <v>10</v>
      </c>
      <c r="C6" s="116"/>
      <c r="D6" s="116"/>
      <c r="E6" s="116" t="s">
        <v>236</v>
      </c>
      <c r="F6" s="117">
        <f>'5. Bilan 2023'!BE6</f>
        <v>350151521.93000001</v>
      </c>
    </row>
    <row r="7" spans="1:6" ht="15" x14ac:dyDescent="0.25">
      <c r="A7" s="17"/>
      <c r="B7" s="17"/>
      <c r="C7" s="85">
        <v>100</v>
      </c>
      <c r="D7" s="85"/>
      <c r="E7" s="85" t="s">
        <v>237</v>
      </c>
      <c r="F7" s="107">
        <f>'5. Bilan 2023'!BE7</f>
        <v>89058117.439999983</v>
      </c>
    </row>
    <row r="8" spans="1:6" x14ac:dyDescent="0.2">
      <c r="D8" s="8">
        <v>1000</v>
      </c>
      <c r="E8" s="8" t="s">
        <v>307</v>
      </c>
      <c r="F8" s="18">
        <f>'5. Bilan 2023'!BE8</f>
        <v>150719.96</v>
      </c>
    </row>
    <row r="9" spans="1:6" x14ac:dyDescent="0.2">
      <c r="D9" s="8">
        <v>1001</v>
      </c>
      <c r="E9" s="8" t="s">
        <v>308</v>
      </c>
      <c r="F9" s="18">
        <f>'5. Bilan 2023'!BE9</f>
        <v>24063206.199999996</v>
      </c>
    </row>
    <row r="10" spans="1:6" x14ac:dyDescent="0.2">
      <c r="D10" s="8">
        <v>1002</v>
      </c>
      <c r="E10" s="8" t="s">
        <v>316</v>
      </c>
      <c r="F10" s="18">
        <f>'5. Bilan 2023'!BE10</f>
        <v>61774597.179999992</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87233402.230000019</v>
      </c>
    </row>
    <row r="16" spans="1:6" x14ac:dyDescent="0.2">
      <c r="D16" s="8">
        <v>1010</v>
      </c>
      <c r="E16" s="8" t="s">
        <v>312</v>
      </c>
      <c r="F16" s="18">
        <f>'5. Bilan 2023'!BE16</f>
        <v>35491360.460000001</v>
      </c>
    </row>
    <row r="17" spans="3:6" x14ac:dyDescent="0.2">
      <c r="D17" s="8">
        <v>1011</v>
      </c>
      <c r="E17" s="8" t="s">
        <v>393</v>
      </c>
      <c r="F17" s="18">
        <f>'5. Bilan 2023'!BE17</f>
        <v>5347573.05</v>
      </c>
    </row>
    <row r="18" spans="3:6" x14ac:dyDescent="0.2">
      <c r="D18" s="8">
        <v>1012</v>
      </c>
      <c r="E18" s="8" t="s">
        <v>313</v>
      </c>
      <c r="F18" s="18">
        <f>'5. Bilan 2023'!BE18</f>
        <v>43259090.660000004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596270.63</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31205371.599999998</v>
      </c>
    </row>
    <row r="32" spans="3:6" x14ac:dyDescent="0.2">
      <c r="D32" s="8">
        <v>1040</v>
      </c>
      <c r="E32" s="8" t="s">
        <v>60</v>
      </c>
      <c r="F32" s="18">
        <f>'5. Bilan 2023'!BE32</f>
        <v>77705.350000000006</v>
      </c>
    </row>
    <row r="33" spans="3:6" x14ac:dyDescent="0.2">
      <c r="D33" s="8">
        <v>1041</v>
      </c>
      <c r="E33" s="8" t="s">
        <v>324</v>
      </c>
      <c r="F33" s="18">
        <f>'5. Bilan 2023'!BE33</f>
        <v>10228043.880000001</v>
      </c>
    </row>
    <row r="34" spans="3:6" x14ac:dyDescent="0.2">
      <c r="D34" s="8">
        <v>1042</v>
      </c>
      <c r="E34" s="8" t="s">
        <v>325</v>
      </c>
      <c r="F34" s="18">
        <f>'5. Bilan 2023'!BE34</f>
        <v>4452131.75</v>
      </c>
    </row>
    <row r="35" spans="3:6" x14ac:dyDescent="0.2">
      <c r="D35" s="8">
        <v>1043</v>
      </c>
      <c r="E35" s="8" t="s">
        <v>326</v>
      </c>
      <c r="F35" s="18">
        <f>'5. Bilan 2023'!BE35</f>
        <v>10748421.460000003</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29852770.860000003</v>
      </c>
    </row>
    <row r="49" spans="3:6" x14ac:dyDescent="0.2">
      <c r="D49" s="8">
        <v>1070</v>
      </c>
      <c r="E49" s="8" t="s">
        <v>336</v>
      </c>
      <c r="F49" s="18">
        <f>'5. Bilan 2023'!BE49</f>
        <v>5167729.4000000004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110145632.62</v>
      </c>
    </row>
    <row r="55" spans="3:6" x14ac:dyDescent="0.2">
      <c r="D55" s="8">
        <v>1080</v>
      </c>
      <c r="E55" s="8" t="s">
        <v>341</v>
      </c>
      <c r="F55" s="18">
        <f>'5. Bilan 2023'!BE55</f>
        <v>41147057.489999995</v>
      </c>
    </row>
    <row r="56" spans="3:6" x14ac:dyDescent="0.2">
      <c r="D56" s="8">
        <v>1084</v>
      </c>
      <c r="E56" s="8" t="s">
        <v>342</v>
      </c>
      <c r="F56" s="18">
        <f>'5. Bilan 2023'!BE56</f>
        <v>67998828.280000016</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592616114.90999985</v>
      </c>
    </row>
    <row r="69" spans="2:6" ht="15" x14ac:dyDescent="0.25">
      <c r="C69" s="85">
        <v>140</v>
      </c>
      <c r="D69" s="85"/>
      <c r="E69" s="85" t="s">
        <v>245</v>
      </c>
      <c r="F69" s="129">
        <f>'5. Bilan 2023'!BE69</f>
        <v>566276554.8599999</v>
      </c>
    </row>
    <row r="70" spans="2:6" x14ac:dyDescent="0.2">
      <c r="D70" s="8">
        <v>1400</v>
      </c>
      <c r="E70" s="8" t="s">
        <v>351</v>
      </c>
      <c r="F70" s="18">
        <f>'5. Bilan 2023'!BE70</f>
        <v>26993575.079999991</v>
      </c>
    </row>
    <row r="71" spans="2:6" x14ac:dyDescent="0.2">
      <c r="D71" s="8">
        <v>1401</v>
      </c>
      <c r="E71" s="8" t="s">
        <v>352</v>
      </c>
      <c r="F71" s="18">
        <f>'5. Bilan 2023'!BE71</f>
        <v>113549690.77000001</v>
      </c>
    </row>
    <row r="72" spans="2:6" x14ac:dyDescent="0.2">
      <c r="D72" s="8">
        <v>1402</v>
      </c>
      <c r="E72" s="8" t="s">
        <v>353</v>
      </c>
      <c r="F72" s="18">
        <f>'5. Bilan 2023'!BE72</f>
        <v>5997888.6399999987</v>
      </c>
    </row>
    <row r="73" spans="2:6" x14ac:dyDescent="0.2">
      <c r="D73" s="8">
        <v>1403</v>
      </c>
      <c r="E73" s="8" t="s">
        <v>354</v>
      </c>
      <c r="F73" s="18">
        <f>'5. Bilan 2023'!BE73</f>
        <v>123718210.14999999</v>
      </c>
    </row>
    <row r="74" spans="2:6" x14ac:dyDescent="0.2">
      <c r="D74" s="8">
        <v>1404</v>
      </c>
      <c r="E74" s="8" t="s">
        <v>355</v>
      </c>
      <c r="F74" s="18">
        <f>'5. Bilan 2023'!BE74</f>
        <v>213551701.26000002</v>
      </c>
    </row>
    <row r="75" spans="2:6" x14ac:dyDescent="0.2">
      <c r="D75" s="8">
        <v>1405</v>
      </c>
      <c r="E75" s="8" t="s">
        <v>356</v>
      </c>
      <c r="F75" s="18">
        <f>'5. Bilan 2023'!BE75</f>
        <v>34419215.760000005</v>
      </c>
    </row>
    <row r="76" spans="2:6" x14ac:dyDescent="0.2">
      <c r="D76" s="8">
        <v>1406</v>
      </c>
      <c r="E76" s="8" t="s">
        <v>357</v>
      </c>
      <c r="F76" s="18">
        <f>'5. Bilan 2023'!BE76</f>
        <v>8908848.0200000014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9280077.1700000018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9463599.589999998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9130896.2899999991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942767636.84000039</v>
      </c>
    </row>
    <row r="120" spans="1:6" ht="15" x14ac:dyDescent="0.25">
      <c r="A120" s="7"/>
      <c r="B120" s="121">
        <v>20</v>
      </c>
      <c r="C120" s="121"/>
      <c r="D120" s="121"/>
      <c r="E120" s="121" t="s">
        <v>248</v>
      </c>
      <c r="F120" s="122">
        <f>'5. Bilan 2023'!BE122</f>
        <v>649769652.11999989</v>
      </c>
    </row>
    <row r="121" spans="1:6" ht="15" x14ac:dyDescent="0.25">
      <c r="C121" s="123">
        <v>200</v>
      </c>
      <c r="D121" s="123"/>
      <c r="E121" s="123" t="s">
        <v>249</v>
      </c>
      <c r="F121" s="124">
        <f>'5. Bilan 2023'!BE123</f>
        <v>38435133.920000002</v>
      </c>
    </row>
    <row r="122" spans="1:6" x14ac:dyDescent="0.2">
      <c r="D122" s="8">
        <v>2000</v>
      </c>
      <c r="E122" s="8" t="s">
        <v>392</v>
      </c>
      <c r="F122" s="18">
        <f>'5. Bilan 2023'!BE124</f>
        <v>33792594.329999998</v>
      </c>
    </row>
    <row r="123" spans="1:6" x14ac:dyDescent="0.2">
      <c r="D123" s="8">
        <v>2001</v>
      </c>
      <c r="E123" s="8" t="s">
        <v>393</v>
      </c>
      <c r="F123" s="18">
        <f>'5. Bilan 2023'!BE125</f>
        <v>1480738.0300000003</v>
      </c>
    </row>
    <row r="124" spans="1:6" x14ac:dyDescent="0.2">
      <c r="D124" s="8">
        <v>2002</v>
      </c>
      <c r="E124" s="8" t="s">
        <v>394</v>
      </c>
      <c r="F124" s="18">
        <f>'5. Bilan 2023'!BE126</f>
        <v>2348125.84</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106301675.50000003</v>
      </c>
    </row>
    <row r="132" spans="3:6" x14ac:dyDescent="0.2">
      <c r="D132" s="8">
        <v>2010</v>
      </c>
      <c r="E132" s="8" t="s">
        <v>399</v>
      </c>
      <c r="F132" s="18">
        <f>'5. Bilan 2023'!BE134</f>
        <v>35668913.119999997</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59574662.359999999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14724185.379999999</v>
      </c>
    </row>
    <row r="142" spans="3:6" x14ac:dyDescent="0.2">
      <c r="D142" s="8">
        <v>2040</v>
      </c>
      <c r="E142" s="8" t="s">
        <v>60</v>
      </c>
      <c r="F142" s="18">
        <f>'5. Bilan 2023'!BE144</f>
        <v>590893.5</v>
      </c>
    </row>
    <row r="143" spans="3:6" x14ac:dyDescent="0.2">
      <c r="D143" s="8">
        <v>2041</v>
      </c>
      <c r="E143" s="8" t="s">
        <v>273</v>
      </c>
      <c r="F143" s="18">
        <f>'5. Bilan 2023'!BE145</f>
        <v>8328658.1900000004</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1196275.9000000001</v>
      </c>
    </row>
    <row r="152" spans="3:6" x14ac:dyDescent="0.2">
      <c r="D152" s="8">
        <v>2050</v>
      </c>
      <c r="E152" s="8" t="s">
        <v>409</v>
      </c>
      <c r="F152" s="18">
        <f>'5. Bilan 2023'!BE154</f>
        <v>1094216.6700000002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471478946.4199999</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254769400.34999999</v>
      </c>
    </row>
    <row r="167" spans="3:6" x14ac:dyDescent="0.2">
      <c r="D167" s="8">
        <v>2064</v>
      </c>
      <c r="E167" s="8" t="s">
        <v>422</v>
      </c>
      <c r="F167" s="18">
        <f>'5. Bilan 2023'!BE169</f>
        <v>190263928.41999999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8986621.9299999978</v>
      </c>
    </row>
    <row r="183" spans="2:6" x14ac:dyDescent="0.2">
      <c r="D183" s="8">
        <v>2090</v>
      </c>
      <c r="E183" s="8" t="s">
        <v>255</v>
      </c>
      <c r="F183" s="18">
        <f>'5. Bilan 2023'!BE185</f>
        <v>30627.82</v>
      </c>
    </row>
    <row r="184" spans="2:6" x14ac:dyDescent="0.2">
      <c r="D184" s="8">
        <v>2091</v>
      </c>
      <c r="E184" s="8" t="s">
        <v>434</v>
      </c>
      <c r="F184" s="18">
        <f>'5. Bilan 2023'!BE186</f>
        <v>8898173.8599999975</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292997984.72000009</v>
      </c>
    </row>
    <row r="189" spans="2:6" ht="15" x14ac:dyDescent="0.25">
      <c r="C189" s="123">
        <v>290</v>
      </c>
      <c r="D189" s="123"/>
      <c r="E189" s="123" t="s">
        <v>257</v>
      </c>
      <c r="F189" s="124">
        <f>'5. Bilan 2023'!BE191</f>
        <v>114021746.03000005</v>
      </c>
    </row>
    <row r="190" spans="2:6" x14ac:dyDescent="0.2">
      <c r="D190" s="8">
        <v>2900</v>
      </c>
      <c r="E190" s="8" t="s">
        <v>257</v>
      </c>
      <c r="F190" s="18">
        <f>'5. Bilan 2023'!BE192</f>
        <v>114021746.03000005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6577750.9199999999</v>
      </c>
    </row>
    <row r="206" spans="3:6" x14ac:dyDescent="0.2">
      <c r="D206" s="8">
        <v>2950</v>
      </c>
      <c r="E206" s="8" t="s">
        <v>262</v>
      </c>
      <c r="F206" s="18">
        <f>'5. Bilan 2023'!BE208</f>
        <v>6577750.9199999999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107747885.65000004</v>
      </c>
    </row>
    <row r="215" spans="3:6" ht="15" x14ac:dyDescent="0.25">
      <c r="D215" s="8">
        <v>2990</v>
      </c>
      <c r="E215" s="8" t="s">
        <v>438</v>
      </c>
      <c r="F215" s="95">
        <f>'5. Bilan 2023'!BE217</f>
        <v>2933101.0899999989</v>
      </c>
    </row>
    <row r="216" spans="3:6" ht="15" x14ac:dyDescent="0.25">
      <c r="D216" s="8">
        <v>2999</v>
      </c>
      <c r="E216" s="8" t="s">
        <v>439</v>
      </c>
      <c r="F216" s="95">
        <f>'5. Bilan 2023'!BE218</f>
        <v>104814784.55999999</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114021746.03000005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6577750.9199999999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107747885.65000004</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tabSelected="1" workbookViewId="0">
      <pane xSplit="2" ySplit="7" topLeftCell="C8" activePane="bottomRight" state="frozen"/>
      <selection activeCell="A3" sqref="A3"/>
      <selection pane="topRight" activeCell="A3" sqref="A3"/>
      <selection pane="bottomLeft" activeCell="A3" sqref="A3"/>
      <selection pane="bottomRight" activeCell="BD30" sqref="BD30"/>
    </sheetView>
  </sheetViews>
  <sheetFormatPr baseColWidth="10" defaultRowHeight="14.25" x14ac:dyDescent="0.2"/>
  <cols>
    <col min="1" max="1" width="5.7109375" style="8" customWidth="1"/>
    <col min="2" max="2" width="50.28515625" style="8" customWidth="1"/>
    <col min="3" max="53" width="16.28515625" style="8" hidden="1" customWidth="1"/>
    <col min="54"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2665919.1399999997</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350151521.93000001</v>
      </c>
      <c r="BC8" s="19">
        <f>SUM(C8:U8)</f>
        <v>159811338.44000003</v>
      </c>
      <c r="BD8" s="19">
        <f>SUM(V8:AG8)</f>
        <v>73055839.350000009</v>
      </c>
      <c r="BE8" s="19">
        <f>SUM(AH8:BA8)</f>
        <v>117284344.14000003</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6179743.5200000005</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649769652.11999989</v>
      </c>
      <c r="BC10" s="19">
        <f>SUM(C10:U10)</f>
        <v>360603444.75</v>
      </c>
      <c r="BD10" s="19">
        <f>SUM(V10:AG10)</f>
        <v>65409225.380000003</v>
      </c>
      <c r="BE10" s="19">
        <f>SUM(AH10:BA10)</f>
        <v>223756981.98999998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1281127.6599999999</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38435133.920000002</v>
      </c>
      <c r="BC12" s="19">
        <f>SUM(C12:U12)</f>
        <v>22207179.450000003</v>
      </c>
      <c r="BD12" s="19">
        <f>SUM(V12:AG12)</f>
        <v>6714531.5799999991</v>
      </c>
      <c r="BE12" s="19">
        <f>SUM(AH12:BA12)</f>
        <v>9513422.8899999987</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387420.33999999997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106301675.50000003</v>
      </c>
      <c r="BC14" s="19">
        <f>SUM(C14:U14)</f>
        <v>78328970.630000025</v>
      </c>
      <c r="BD14" s="19">
        <f>SUM(V14:AG14)</f>
        <v>6643684.2599999998</v>
      </c>
      <c r="BE14" s="19">
        <f>SUM(AH14:BA14)</f>
        <v>21329020.610000003</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4471930.95</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471478946.4199999</v>
      </c>
      <c r="BC16" s="19">
        <f>SUM(C16:U16)</f>
        <v>247424808.08000001</v>
      </c>
      <c r="BD16" s="19">
        <f>SUM(V16:AG16)</f>
        <v>38340198.609999999</v>
      </c>
      <c r="BE16" s="19">
        <f>SUM(AH16:BA16)</f>
        <v>185713939.73000002</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6140478.9500000002</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616215755.84000003</v>
      </c>
      <c r="BC21" s="137">
        <f>SUM(C21:U21)</f>
        <v>347960958.16000009</v>
      </c>
      <c r="BD21" s="137">
        <f>SUM(V21:AG21)</f>
        <v>51698414.450000003</v>
      </c>
      <c r="BE21" s="137">
        <f>SUM(AH21:BA21)</f>
        <v>216556383.22999999</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8516.6143550624129</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8266.0266652358223</v>
      </c>
      <c r="BC22" s="113">
        <f t="shared" ref="BC22:BE22" si="2">BC21/BC6</f>
        <v>8773.5995501765028</v>
      </c>
      <c r="BD22" s="113">
        <f t="shared" si="2"/>
        <v>4909.1647944164852</v>
      </c>
      <c r="BE22" s="113">
        <f t="shared" si="2"/>
        <v>8890.9300500882691</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3513824.3800000008</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299618130.18999994</v>
      </c>
      <c r="BC24" s="137">
        <f>SUM(C24:U24)</f>
        <v>200792106.30999997</v>
      </c>
      <c r="BD24" s="137">
        <f>SUM(V24:AG24)</f>
        <v>-7646613.9699999988</v>
      </c>
      <c r="BE24" s="137">
        <f>SUM(AH24:BA24)</f>
        <v>106472637.84999999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4873.5428294036074</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4019.1303615120451</v>
      </c>
      <c r="BC25" s="113">
        <f t="shared" si="4"/>
        <v>5062.8367702975283</v>
      </c>
      <c r="BD25" s="113">
        <f t="shared" si="4"/>
        <v>-726.10521033140242</v>
      </c>
      <c r="BE25" s="113">
        <f t="shared" si="4"/>
        <v>4371.3362832040066</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topLeftCell="A49"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6140478.9500000002</v>
      </c>
      <c r="C42" s="13">
        <f>'5.4 Tableau de l''endettement'!AP22</f>
        <v>8516.6143550624129</v>
      </c>
      <c r="D42" s="13">
        <f>'5.4 Tableau de l''endettement'!AP24</f>
        <v>3513824.3800000008</v>
      </c>
      <c r="E42" s="13">
        <f>'5.4 Tableau de l''endettement'!AP25</f>
        <v>4873.5428294036074</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Z127"/>
  <sheetViews>
    <sheetView topLeftCell="A82" workbookViewId="0">
      <selection activeCell="A3" sqref="A3"/>
    </sheetView>
  </sheetViews>
  <sheetFormatPr baseColWidth="10" defaultRowHeight="15" x14ac:dyDescent="0.25"/>
  <cols>
    <col min="1" max="5" width="17.5703125" customWidth="1"/>
    <col min="7" max="10" width="17.5703125" customWidth="1"/>
    <col min="12" max="13" width="19.7109375" customWidth="1"/>
    <col min="14" max="14" width="19.5703125" customWidth="1"/>
    <col min="15" max="16" width="19.7109375" customWidth="1"/>
    <col min="18" max="22" width="19.5703125" customWidth="1"/>
    <col min="24" max="24" width="23.28515625" customWidth="1"/>
    <col min="26" max="26" width="15" customWidth="1"/>
  </cols>
  <sheetData>
    <row r="1" spans="1:26" x14ac:dyDescent="0.25">
      <c r="A1" s="218"/>
      <c r="B1" s="226">
        <v>2023</v>
      </c>
      <c r="C1" s="226"/>
      <c r="D1" s="226"/>
      <c r="E1" s="226"/>
      <c r="F1" s="218"/>
      <c r="G1" s="226">
        <v>2022</v>
      </c>
      <c r="H1" s="226"/>
      <c r="I1" s="226"/>
      <c r="J1" s="226"/>
      <c r="L1" s="226">
        <v>2021</v>
      </c>
      <c r="M1" s="226"/>
      <c r="N1" s="226"/>
      <c r="O1" s="226"/>
      <c r="P1" s="226"/>
      <c r="R1" s="226" t="s">
        <v>838</v>
      </c>
      <c r="S1" s="226"/>
      <c r="T1" s="226"/>
      <c r="U1" s="226"/>
      <c r="V1" s="226"/>
    </row>
    <row r="2" spans="1:26" x14ac:dyDescent="0.25">
      <c r="A2" s="208" t="s">
        <v>66</v>
      </c>
      <c r="B2" s="216" t="s">
        <v>769</v>
      </c>
      <c r="C2" s="216" t="s">
        <v>771</v>
      </c>
      <c r="D2" s="216" t="s">
        <v>770</v>
      </c>
      <c r="E2" s="216" t="s">
        <v>772</v>
      </c>
      <c r="G2" s="208" t="s">
        <v>769</v>
      </c>
      <c r="H2" s="208" t="s">
        <v>771</v>
      </c>
      <c r="I2" s="208" t="s">
        <v>770</v>
      </c>
      <c r="J2" s="208" t="s">
        <v>772</v>
      </c>
      <c r="L2" s="208" t="s">
        <v>66</v>
      </c>
      <c r="M2" s="208" t="s">
        <v>769</v>
      </c>
      <c r="N2" s="208" t="s">
        <v>771</v>
      </c>
      <c r="O2" s="208" t="s">
        <v>770</v>
      </c>
      <c r="P2" s="208" t="s">
        <v>772</v>
      </c>
      <c r="R2" s="208" t="s">
        <v>66</v>
      </c>
      <c r="S2" s="208" t="s">
        <v>769</v>
      </c>
      <c r="T2" s="208" t="s">
        <v>771</v>
      </c>
      <c r="U2" s="208" t="s">
        <v>770</v>
      </c>
      <c r="V2" s="208" t="s">
        <v>772</v>
      </c>
      <c r="X2" s="226" t="s">
        <v>846</v>
      </c>
      <c r="Y2" s="226"/>
      <c r="Z2" s="226"/>
    </row>
    <row r="3" spans="1:26" x14ac:dyDescent="0.25">
      <c r="A3" s="209" t="s">
        <v>55</v>
      </c>
      <c r="B3" s="209">
        <v>11146300.15</v>
      </c>
      <c r="C3" s="209">
        <v>11598.647398543184</v>
      </c>
      <c r="D3" s="209">
        <v>5290418.4899999984</v>
      </c>
      <c r="E3" s="209">
        <v>5505.1180957336092</v>
      </c>
      <c r="G3" s="209">
        <v>10231693.5</v>
      </c>
      <c r="H3" s="209">
        <v>10758.878548895898</v>
      </c>
      <c r="I3" s="209">
        <v>4350117.6099999994</v>
      </c>
      <c r="J3" s="209">
        <v>4574.2561619348053</v>
      </c>
      <c r="L3" s="209" t="s">
        <v>55</v>
      </c>
      <c r="M3" s="209">
        <v>10352456.359999999</v>
      </c>
      <c r="N3" s="209">
        <v>10931.844097148891</v>
      </c>
      <c r="O3" s="209">
        <v>4381758.7200000007</v>
      </c>
      <c r="P3" s="209">
        <v>4626.989144667371</v>
      </c>
      <c r="R3" s="209" t="s">
        <v>55</v>
      </c>
      <c r="S3" s="209">
        <f>G3-M3</f>
        <v>-120762.8599999994</v>
      </c>
      <c r="T3" s="209">
        <f>H3-N3</f>
        <v>-172.96554825299245</v>
      </c>
      <c r="U3" s="209">
        <f>I3-O3</f>
        <v>-31641.110000001267</v>
      </c>
      <c r="V3" s="209">
        <f>J3-P3</f>
        <v>-52.732982732565688</v>
      </c>
      <c r="X3" t="s">
        <v>841</v>
      </c>
      <c r="Y3" s="207">
        <v>7</v>
      </c>
      <c r="Z3" s="209">
        <f>S16+S17+S18+S26+S45+S47+S50</f>
        <v>374440.23999999976</v>
      </c>
    </row>
    <row r="4" spans="1:26" x14ac:dyDescent="0.25">
      <c r="A4" s="209" t="s">
        <v>17</v>
      </c>
      <c r="B4" s="209">
        <v>2269482.25</v>
      </c>
      <c r="C4" s="209">
        <v>8695.3342911877389</v>
      </c>
      <c r="D4" s="209">
        <v>1141874.9100000001</v>
      </c>
      <c r="E4" s="209">
        <v>4374.9996551724144</v>
      </c>
      <c r="G4" s="209">
        <v>2396649.5500000003</v>
      </c>
      <c r="H4" s="209">
        <v>9289.3393410852732</v>
      </c>
      <c r="I4" s="209">
        <v>1350274.5700000003</v>
      </c>
      <c r="J4" s="209">
        <v>5233.6223643410867</v>
      </c>
      <c r="L4" s="209" t="s">
        <v>17</v>
      </c>
      <c r="M4" s="209">
        <v>2474314.7000000002</v>
      </c>
      <c r="N4" s="209">
        <v>9337.0366037735857</v>
      </c>
      <c r="O4" s="209">
        <v>1334174.0200000003</v>
      </c>
      <c r="P4" s="209">
        <v>5034.6189433962272</v>
      </c>
      <c r="R4" s="209" t="s">
        <v>17</v>
      </c>
      <c r="S4" s="209">
        <f t="shared" ref="S4:S56" si="0">G4-M4</f>
        <v>-77665.149999999907</v>
      </c>
      <c r="T4" s="209">
        <f t="shared" ref="T4:T56" si="1">H4-N4</f>
        <v>-47.697262688312549</v>
      </c>
      <c r="U4" s="209">
        <f t="shared" ref="U4:U56" si="2">I4-O4</f>
        <v>16100.550000000047</v>
      </c>
      <c r="V4" s="209">
        <f t="shared" ref="V4:V56" si="3">J4-P4</f>
        <v>199.0034209448595</v>
      </c>
      <c r="X4" t="s">
        <v>842</v>
      </c>
      <c r="Y4" s="207">
        <v>8</v>
      </c>
      <c r="Z4" s="209">
        <f>S19+S25+S27+S28+S29+S37+S40+S46</f>
        <v>2409157.0600000015</v>
      </c>
    </row>
    <row r="5" spans="1:26" x14ac:dyDescent="0.25">
      <c r="A5" s="209" t="s">
        <v>56</v>
      </c>
      <c r="B5" s="209">
        <v>5113397.1500000004</v>
      </c>
      <c r="C5" s="209">
        <v>10351.006376518219</v>
      </c>
      <c r="D5" s="209">
        <v>2106738.2499999995</v>
      </c>
      <c r="E5" s="209">
        <v>4264.6523279352214</v>
      </c>
      <c r="G5" s="209">
        <v>5213780.8499999996</v>
      </c>
      <c r="H5" s="209">
        <v>11069.598407643311</v>
      </c>
      <c r="I5" s="209">
        <v>2310199.3900000006</v>
      </c>
      <c r="J5" s="209">
        <v>4904.8819320594494</v>
      </c>
      <c r="L5" s="209" t="s">
        <v>56</v>
      </c>
      <c r="M5" s="209">
        <v>5522808.4000000004</v>
      </c>
      <c r="N5" s="209">
        <v>11775.710874200427</v>
      </c>
      <c r="O5" s="209">
        <v>2494295.2999999993</v>
      </c>
      <c r="P5" s="209">
        <v>5318.32686567164</v>
      </c>
      <c r="R5" s="209" t="s">
        <v>56</v>
      </c>
      <c r="S5" s="209">
        <f t="shared" si="0"/>
        <v>-309027.55000000075</v>
      </c>
      <c r="T5" s="209">
        <f t="shared" si="1"/>
        <v>-706.11246655711693</v>
      </c>
      <c r="U5" s="209">
        <f t="shared" si="2"/>
        <v>-184095.90999999875</v>
      </c>
      <c r="V5" s="209">
        <f t="shared" si="3"/>
        <v>-413.44493361219065</v>
      </c>
      <c r="X5" t="s">
        <v>843</v>
      </c>
      <c r="Y5" s="207">
        <v>5</v>
      </c>
      <c r="Z5" s="209">
        <f>S11+S41+S44+S52+S53</f>
        <v>3767006.8800000008</v>
      </c>
    </row>
    <row r="6" spans="1:26" x14ac:dyDescent="0.25">
      <c r="A6" s="209" t="s">
        <v>52</v>
      </c>
      <c r="B6" s="209">
        <v>4102182.16</v>
      </c>
      <c r="C6" s="209">
        <v>9218.3868764044946</v>
      </c>
      <c r="D6" s="209">
        <v>-134688.73000000045</v>
      </c>
      <c r="E6" s="209">
        <v>-302.67130337078754</v>
      </c>
      <c r="G6" s="209">
        <v>4171946.5700000003</v>
      </c>
      <c r="H6" s="209">
        <v>9460.1963038548765</v>
      </c>
      <c r="I6" s="209">
        <v>29580.799999999814</v>
      </c>
      <c r="J6" s="209">
        <v>67.076643990929284</v>
      </c>
      <c r="L6" s="209" t="s">
        <v>52</v>
      </c>
      <c r="M6" s="209">
        <v>4432305.8599999994</v>
      </c>
      <c r="N6" s="209">
        <v>10096.368701594532</v>
      </c>
      <c r="O6" s="209">
        <v>159665.83999999985</v>
      </c>
      <c r="P6" s="209">
        <v>363.7035079726648</v>
      </c>
      <c r="R6" s="209" t="s">
        <v>52</v>
      </c>
      <c r="S6" s="209">
        <f t="shared" si="0"/>
        <v>-260359.28999999911</v>
      </c>
      <c r="T6" s="209">
        <f t="shared" si="1"/>
        <v>-636.17239773965593</v>
      </c>
      <c r="U6" s="209">
        <f t="shared" si="2"/>
        <v>-130085.04000000004</v>
      </c>
      <c r="V6" s="209">
        <f t="shared" si="3"/>
        <v>-296.62686398173548</v>
      </c>
      <c r="X6" t="s">
        <v>844</v>
      </c>
      <c r="Y6" s="207">
        <v>3</v>
      </c>
      <c r="Z6" s="209">
        <f>S7+S13+S55</f>
        <v>6029477.9499999993</v>
      </c>
    </row>
    <row r="7" spans="1:26" x14ac:dyDescent="0.25">
      <c r="A7" s="209" t="s">
        <v>32</v>
      </c>
      <c r="B7" s="209">
        <v>30134936.359999999</v>
      </c>
      <c r="C7" s="209">
        <v>8217.8719280065452</v>
      </c>
      <c r="D7" s="209">
        <v>14712211.869999997</v>
      </c>
      <c r="E7" s="209">
        <v>4012.0566866648478</v>
      </c>
      <c r="G7" s="209">
        <v>26026875.600000001</v>
      </c>
      <c r="H7" s="209">
        <v>7061.0080303852419</v>
      </c>
      <c r="I7" s="209">
        <v>10596401.889999999</v>
      </c>
      <c r="J7" s="209">
        <v>2874.7699104720559</v>
      </c>
      <c r="L7" s="209" t="s">
        <v>32</v>
      </c>
      <c r="M7" s="209">
        <v>24113627.370000001</v>
      </c>
      <c r="N7" s="209">
        <v>6468.2476850858375</v>
      </c>
      <c r="O7" s="209">
        <v>9596524.3299999982</v>
      </c>
      <c r="P7" s="209">
        <v>2574.1749812231756</v>
      </c>
      <c r="R7" s="209" t="s">
        <v>32</v>
      </c>
      <c r="S7" s="209">
        <f t="shared" si="0"/>
        <v>1913248.2300000004</v>
      </c>
      <c r="T7" s="209">
        <f t="shared" si="1"/>
        <v>592.76034529940443</v>
      </c>
      <c r="U7" s="209">
        <f t="shared" si="2"/>
        <v>999877.56000000052</v>
      </c>
      <c r="V7" s="209">
        <f t="shared" si="3"/>
        <v>300.59492924888036</v>
      </c>
      <c r="X7" t="s">
        <v>845</v>
      </c>
      <c r="Y7" s="207">
        <v>1</v>
      </c>
      <c r="Z7" s="209">
        <f>S10</f>
        <v>24088013.099999964</v>
      </c>
    </row>
    <row r="8" spans="1:26" x14ac:dyDescent="0.25">
      <c r="A8" s="209" t="s">
        <v>10</v>
      </c>
      <c r="B8" s="209">
        <v>22968901.039999999</v>
      </c>
      <c r="C8" s="209">
        <v>6763.5162073027086</v>
      </c>
      <c r="D8" s="209">
        <v>15893779.779999997</v>
      </c>
      <c r="E8" s="209">
        <v>4680.1471672555945</v>
      </c>
      <c r="G8" s="209">
        <v>23189435.620000001</v>
      </c>
      <c r="H8" s="209">
        <v>6999.527805614247</v>
      </c>
      <c r="I8" s="209">
        <v>16567735.970000003</v>
      </c>
      <c r="J8" s="209">
        <v>5000.8258285541815</v>
      </c>
      <c r="L8" s="209" t="s">
        <v>10</v>
      </c>
      <c r="M8" s="209">
        <v>23596343.5</v>
      </c>
      <c r="N8" s="209">
        <v>7054.2133034379667</v>
      </c>
      <c r="O8" s="209">
        <v>16136631.520000003</v>
      </c>
      <c r="P8" s="209">
        <v>4824.1050881913316</v>
      </c>
      <c r="R8" s="209" t="s">
        <v>10</v>
      </c>
      <c r="S8" s="209">
        <f t="shared" si="0"/>
        <v>-406907.87999999896</v>
      </c>
      <c r="T8" s="209">
        <f t="shared" si="1"/>
        <v>-54.685497823719743</v>
      </c>
      <c r="U8" s="209">
        <f t="shared" si="2"/>
        <v>431104.44999999925</v>
      </c>
      <c r="V8" s="209">
        <f t="shared" si="3"/>
        <v>176.72074036284994</v>
      </c>
      <c r="Y8" s="207">
        <f>SUM(Y3:Y7)</f>
        <v>24</v>
      </c>
      <c r="Z8" s="209">
        <f>SUM(Z3:Z7)</f>
        <v>36668095.229999967</v>
      </c>
    </row>
    <row r="9" spans="1:26" x14ac:dyDescent="0.25">
      <c r="A9" s="209" t="s">
        <v>14</v>
      </c>
      <c r="B9" s="209">
        <v>9978141.2599999998</v>
      </c>
      <c r="C9" s="209">
        <v>3663.0474522760646</v>
      </c>
      <c r="D9" s="209">
        <v>-643488.3599999994</v>
      </c>
      <c r="E9" s="209">
        <v>-236.22920704845794</v>
      </c>
      <c r="G9" s="209">
        <v>10340912.189999999</v>
      </c>
      <c r="H9" s="209">
        <v>3896.3497324792766</v>
      </c>
      <c r="I9" s="209">
        <v>-429317.41000000015</v>
      </c>
      <c r="J9" s="209">
        <v>-161.76240015071596</v>
      </c>
      <c r="L9" s="209" t="s">
        <v>14</v>
      </c>
      <c r="M9" s="209">
        <v>10534501.98</v>
      </c>
      <c r="N9" s="209">
        <v>3972.2858144796382</v>
      </c>
      <c r="O9" s="209">
        <v>613443.49000000022</v>
      </c>
      <c r="P9" s="209">
        <v>231.31353318250385</v>
      </c>
      <c r="R9" s="209" t="s">
        <v>14</v>
      </c>
      <c r="S9" s="209">
        <f t="shared" si="0"/>
        <v>-193589.79000000097</v>
      </c>
      <c r="T9" s="209">
        <f t="shared" si="1"/>
        <v>-75.936082000361694</v>
      </c>
      <c r="U9" s="209">
        <f t="shared" si="2"/>
        <v>-1042760.9000000004</v>
      </c>
      <c r="V9" s="209">
        <f t="shared" si="3"/>
        <v>-393.07593333321984</v>
      </c>
    </row>
    <row r="10" spans="1:26" x14ac:dyDescent="0.25">
      <c r="A10" s="209" t="s">
        <v>27</v>
      </c>
      <c r="B10" s="209">
        <v>171926276.57999998</v>
      </c>
      <c r="C10" s="209">
        <v>13496.05750686867</v>
      </c>
      <c r="D10" s="209">
        <v>110066288.14999999</v>
      </c>
      <c r="E10" s="209">
        <v>8640.104258576026</v>
      </c>
      <c r="G10" s="209">
        <v>166457137.63999999</v>
      </c>
      <c r="H10" s="209">
        <v>13173.246093700536</v>
      </c>
      <c r="I10" s="209">
        <v>103469664.34000002</v>
      </c>
      <c r="J10" s="209">
        <v>8188.4824580563482</v>
      </c>
      <c r="L10" s="209" t="s">
        <v>27</v>
      </c>
      <c r="M10" s="209">
        <v>142369124.54000002</v>
      </c>
      <c r="N10" s="209">
        <v>11408.696573443387</v>
      </c>
      <c r="O10" s="209">
        <v>95429892.970000029</v>
      </c>
      <c r="P10" s="209">
        <v>7647.2387987819557</v>
      </c>
      <c r="R10" s="209" t="s">
        <v>27</v>
      </c>
      <c r="S10" s="209">
        <f t="shared" si="0"/>
        <v>24088013.099999964</v>
      </c>
      <c r="T10" s="209">
        <f t="shared" si="1"/>
        <v>1764.5495202571492</v>
      </c>
      <c r="U10" s="209">
        <f t="shared" si="2"/>
        <v>8039771.3699999899</v>
      </c>
      <c r="V10" s="209">
        <f t="shared" si="3"/>
        <v>541.24365927439248</v>
      </c>
      <c r="X10" s="226" t="s">
        <v>847</v>
      </c>
      <c r="Y10" s="226"/>
      <c r="Z10" s="226"/>
    </row>
    <row r="11" spans="1:26" x14ac:dyDescent="0.25">
      <c r="A11" s="209" t="s">
        <v>41</v>
      </c>
      <c r="B11" s="209">
        <v>7728877.5700000003</v>
      </c>
      <c r="C11" s="209">
        <v>5633.2926895043738</v>
      </c>
      <c r="D11" s="209">
        <v>4317931.2300000004</v>
      </c>
      <c r="E11" s="209">
        <v>3147.1801967930032</v>
      </c>
      <c r="G11" s="209">
        <v>7684406.9900000002</v>
      </c>
      <c r="H11" s="209">
        <v>5650.2992573529409</v>
      </c>
      <c r="I11" s="209">
        <v>4117624.0699999994</v>
      </c>
      <c r="J11" s="209">
        <v>3027.6647573529408</v>
      </c>
      <c r="L11" s="209" t="s">
        <v>41</v>
      </c>
      <c r="M11" s="209">
        <v>6715713.5199999996</v>
      </c>
      <c r="N11" s="209">
        <v>4941.658219278881</v>
      </c>
      <c r="O11" s="209">
        <v>3276821.4900000007</v>
      </c>
      <c r="P11" s="209">
        <v>2411.2005077262697</v>
      </c>
      <c r="R11" s="209" t="s">
        <v>41</v>
      </c>
      <c r="S11" s="209">
        <f t="shared" si="0"/>
        <v>968693.47000000067</v>
      </c>
      <c r="T11" s="209">
        <f t="shared" si="1"/>
        <v>708.64103807405991</v>
      </c>
      <c r="U11" s="209">
        <f t="shared" si="2"/>
        <v>840802.57999999868</v>
      </c>
      <c r="V11" s="209">
        <f t="shared" si="3"/>
        <v>616.46424962667106</v>
      </c>
      <c r="X11" t="s">
        <v>841</v>
      </c>
      <c r="Y11" s="207">
        <v>7</v>
      </c>
      <c r="Z11" s="209">
        <f>S4+S15+S33+S43+S48+S54+S56</f>
        <v>-397959.22999999917</v>
      </c>
    </row>
    <row r="12" spans="1:26" x14ac:dyDescent="0.25">
      <c r="A12" s="209" t="s">
        <v>22</v>
      </c>
      <c r="B12" s="209">
        <v>714480.9</v>
      </c>
      <c r="C12" s="209">
        <v>6106.6743589743592</v>
      </c>
      <c r="D12" s="209">
        <v>570673.89</v>
      </c>
      <c r="E12" s="209">
        <v>4877.5546153846153</v>
      </c>
      <c r="G12" s="209">
        <v>752392.9</v>
      </c>
      <c r="H12" s="209">
        <v>6717.7937499999998</v>
      </c>
      <c r="I12" s="209">
        <v>779330.57000000007</v>
      </c>
      <c r="J12" s="209">
        <v>6958.3086607142859</v>
      </c>
      <c r="L12" s="209" t="s">
        <v>22</v>
      </c>
      <c r="M12" s="209">
        <v>858438.48</v>
      </c>
      <c r="N12" s="209">
        <v>7337.0810256410259</v>
      </c>
      <c r="O12" s="209">
        <v>657021.74</v>
      </c>
      <c r="P12" s="209">
        <v>5615.5704273504271</v>
      </c>
      <c r="R12" s="209" t="s">
        <v>22</v>
      </c>
      <c r="S12" s="209">
        <f t="shared" si="0"/>
        <v>-106045.57999999996</v>
      </c>
      <c r="T12" s="209">
        <f t="shared" si="1"/>
        <v>-619.2872756410261</v>
      </c>
      <c r="U12" s="209">
        <f t="shared" si="2"/>
        <v>122308.83000000007</v>
      </c>
      <c r="V12" s="209">
        <f t="shared" si="3"/>
        <v>1342.7382333638589</v>
      </c>
      <c r="X12" t="s">
        <v>842</v>
      </c>
      <c r="Y12" s="207">
        <v>15</v>
      </c>
      <c r="Z12" s="209">
        <f>S3+S5+S6+S8+S9+S12+S14+S20+S22+S30+S34+S35+S38+S39+S51</f>
        <v>-3783929.6699999981</v>
      </c>
    </row>
    <row r="13" spans="1:26" x14ac:dyDescent="0.25">
      <c r="A13" s="209" t="s">
        <v>21</v>
      </c>
      <c r="B13" s="209">
        <v>46501562.57</v>
      </c>
      <c r="C13" s="209">
        <v>6316.4306669383323</v>
      </c>
      <c r="D13" s="209">
        <v>30964330.889999993</v>
      </c>
      <c r="E13" s="209">
        <v>4205.967249388752</v>
      </c>
      <c r="G13" s="209">
        <v>45615798.689999998</v>
      </c>
      <c r="H13" s="209">
        <v>6232.5179245798599</v>
      </c>
      <c r="I13" s="209">
        <v>29090469.219999999</v>
      </c>
      <c r="J13" s="209">
        <v>3974.650802022134</v>
      </c>
      <c r="L13" s="209" t="s">
        <v>21</v>
      </c>
      <c r="M13" s="209">
        <v>44141873.289999999</v>
      </c>
      <c r="N13" s="209">
        <v>6079.31046550062</v>
      </c>
      <c r="O13" s="209">
        <v>27130951.869999997</v>
      </c>
      <c r="P13" s="209">
        <v>3736.531038424459</v>
      </c>
      <c r="R13" s="209" t="s">
        <v>21</v>
      </c>
      <c r="S13" s="209">
        <f t="shared" si="0"/>
        <v>1473925.3999999985</v>
      </c>
      <c r="T13" s="209">
        <f t="shared" si="1"/>
        <v>153.20745907923992</v>
      </c>
      <c r="U13" s="209">
        <f t="shared" si="2"/>
        <v>1959517.3500000015</v>
      </c>
      <c r="V13" s="209">
        <f t="shared" si="3"/>
        <v>238.11976359767505</v>
      </c>
      <c r="X13" t="s">
        <v>843</v>
      </c>
      <c r="Y13" s="207">
        <v>5</v>
      </c>
      <c r="Z13" s="209">
        <f>S31+S32+S36+S42+S21</f>
        <v>-3864821.9700000016</v>
      </c>
    </row>
    <row r="14" spans="1:26" x14ac:dyDescent="0.25">
      <c r="A14" s="209" t="s">
        <v>12</v>
      </c>
      <c r="B14" s="209">
        <v>2637865.54</v>
      </c>
      <c r="C14" s="209">
        <v>4930.5897943925238</v>
      </c>
      <c r="D14" s="209">
        <v>888016.60999999987</v>
      </c>
      <c r="E14" s="209">
        <v>1659.8441308411213</v>
      </c>
      <c r="G14" s="209">
        <v>2811349.0100000002</v>
      </c>
      <c r="H14" s="209">
        <v>5385.7260727969351</v>
      </c>
      <c r="I14" s="209">
        <v>1290983.73</v>
      </c>
      <c r="J14" s="209">
        <v>2473.1489080459769</v>
      </c>
      <c r="L14" s="209" t="s">
        <v>12</v>
      </c>
      <c r="M14" s="209">
        <v>3093787.24</v>
      </c>
      <c r="N14" s="209">
        <v>5750.5339033457258</v>
      </c>
      <c r="O14" s="209">
        <v>1159598.6799999997</v>
      </c>
      <c r="P14" s="209">
        <v>2155.3878810408914</v>
      </c>
      <c r="R14" s="209" t="s">
        <v>12</v>
      </c>
      <c r="S14" s="209">
        <f t="shared" si="0"/>
        <v>-282438.23</v>
      </c>
      <c r="T14" s="209">
        <f t="shared" si="1"/>
        <v>-364.80783054879066</v>
      </c>
      <c r="U14" s="209">
        <f t="shared" si="2"/>
        <v>131385.05000000028</v>
      </c>
      <c r="V14" s="209">
        <f t="shared" si="3"/>
        <v>317.76102700508545</v>
      </c>
      <c r="X14" t="s">
        <v>844</v>
      </c>
      <c r="Y14" s="207">
        <v>2</v>
      </c>
      <c r="Z14" s="209">
        <f>S23+S24</f>
        <v>-4669209.9400000013</v>
      </c>
    </row>
    <row r="15" spans="1:26" x14ac:dyDescent="0.25">
      <c r="A15" s="209" t="s">
        <v>16</v>
      </c>
      <c r="B15" s="209">
        <v>471574.19</v>
      </c>
      <c r="C15" s="209">
        <v>4210.4838392857146</v>
      </c>
      <c r="D15" s="209">
        <v>11386.760000000009</v>
      </c>
      <c r="E15" s="209">
        <v>101.66750000000009</v>
      </c>
      <c r="G15" s="209">
        <v>472998.96</v>
      </c>
      <c r="H15" s="209">
        <v>4462.254339622642</v>
      </c>
      <c r="I15" s="209">
        <v>-17354.150000000023</v>
      </c>
      <c r="J15" s="209">
        <v>-163.71839622641531</v>
      </c>
      <c r="L15" s="209" t="s">
        <v>16</v>
      </c>
      <c r="M15" s="209">
        <v>497395.93</v>
      </c>
      <c r="N15" s="209">
        <v>4481.0444144144139</v>
      </c>
      <c r="O15" s="209">
        <v>41216.310000000056</v>
      </c>
      <c r="P15" s="209">
        <v>371.31810810810862</v>
      </c>
      <c r="R15" s="209" t="s">
        <v>16</v>
      </c>
      <c r="S15" s="209">
        <f t="shared" si="0"/>
        <v>-24396.969999999972</v>
      </c>
      <c r="T15" s="209">
        <f t="shared" si="1"/>
        <v>-18.790074791771985</v>
      </c>
      <c r="U15" s="209">
        <f t="shared" si="2"/>
        <v>-58570.460000000079</v>
      </c>
      <c r="V15" s="209">
        <f t="shared" si="3"/>
        <v>-535.0365043345239</v>
      </c>
      <c r="X15" t="s">
        <v>845</v>
      </c>
      <c r="Y15" s="207">
        <v>0</v>
      </c>
      <c r="Z15" s="209">
        <v>0</v>
      </c>
    </row>
    <row r="16" spans="1:26" x14ac:dyDescent="0.25">
      <c r="A16" s="209" t="s">
        <v>42</v>
      </c>
      <c r="B16" s="209">
        <v>3469622.55</v>
      </c>
      <c r="C16" s="209">
        <v>8261.0060714285719</v>
      </c>
      <c r="D16" s="209">
        <v>1770576.3899999997</v>
      </c>
      <c r="E16" s="209">
        <v>4215.658071428571</v>
      </c>
      <c r="G16" s="209">
        <v>3177943.3000000003</v>
      </c>
      <c r="H16" s="209">
        <v>7477.5136470588241</v>
      </c>
      <c r="I16" s="209">
        <v>1642738.42</v>
      </c>
      <c r="J16" s="209">
        <v>3865.2668705882352</v>
      </c>
      <c r="L16" s="209" t="s">
        <v>42</v>
      </c>
      <c r="M16" s="209">
        <v>3083781.92</v>
      </c>
      <c r="N16" s="209">
        <v>7324.8976722090256</v>
      </c>
      <c r="O16" s="209">
        <v>1753942.15</v>
      </c>
      <c r="P16" s="209">
        <v>4166.1333729216149</v>
      </c>
      <c r="R16" s="209" t="s">
        <v>42</v>
      </c>
      <c r="S16" s="209">
        <f t="shared" si="0"/>
        <v>94161.380000000354</v>
      </c>
      <c r="T16" s="209">
        <f t="shared" si="1"/>
        <v>152.61597484979848</v>
      </c>
      <c r="U16" s="209">
        <f t="shared" si="2"/>
        <v>-111203.72999999998</v>
      </c>
      <c r="V16" s="209">
        <f t="shared" si="3"/>
        <v>-300.86650233337969</v>
      </c>
      <c r="Y16" s="207">
        <f>SUM(Y11:Y15)</f>
        <v>29</v>
      </c>
      <c r="Z16" s="209">
        <f>SUM(Z11:Z15)</f>
        <v>-12715920.810000001</v>
      </c>
    </row>
    <row r="17" spans="1:26" x14ac:dyDescent="0.25">
      <c r="A17" s="209" t="s">
        <v>39</v>
      </c>
      <c r="B17" s="209">
        <v>3813815.98</v>
      </c>
      <c r="C17" s="209">
        <v>10927.839484240687</v>
      </c>
      <c r="D17" s="209">
        <v>1463169.71</v>
      </c>
      <c r="E17" s="209">
        <v>4192.4633524355304</v>
      </c>
      <c r="G17" s="209">
        <v>4143084.9</v>
      </c>
      <c r="H17" s="209">
        <v>11837.385428571428</v>
      </c>
      <c r="I17" s="209">
        <v>1514124.1099999994</v>
      </c>
      <c r="J17" s="209">
        <v>4326.0688857142841</v>
      </c>
      <c r="L17" s="209" t="s">
        <v>39</v>
      </c>
      <c r="M17" s="209">
        <v>4101271.2100000004</v>
      </c>
      <c r="N17" s="209">
        <v>11853.385000000002</v>
      </c>
      <c r="O17" s="209">
        <v>1749151.4600000004</v>
      </c>
      <c r="P17" s="209">
        <v>5055.3510404624294</v>
      </c>
      <c r="R17" s="209" t="s">
        <v>39</v>
      </c>
      <c r="S17" s="209">
        <f t="shared" si="0"/>
        <v>41813.689999999478</v>
      </c>
      <c r="T17" s="209">
        <f t="shared" si="1"/>
        <v>-15.9995714285742</v>
      </c>
      <c r="U17" s="209">
        <f t="shared" si="2"/>
        <v>-235027.35000000102</v>
      </c>
      <c r="V17" s="209">
        <f t="shared" si="3"/>
        <v>-729.28215474814533</v>
      </c>
    </row>
    <row r="18" spans="1:26" x14ac:dyDescent="0.25">
      <c r="A18" s="209" t="s">
        <v>30</v>
      </c>
      <c r="B18" s="209">
        <v>4826208.0999999996</v>
      </c>
      <c r="C18" s="209">
        <v>6584.1856753069569</v>
      </c>
      <c r="D18" s="209">
        <v>-743512.45000000019</v>
      </c>
      <c r="E18" s="209">
        <v>-1014.341678035471</v>
      </c>
      <c r="G18" s="209">
        <v>5163639.42</v>
      </c>
      <c r="H18" s="209">
        <v>7044.5285402455656</v>
      </c>
      <c r="I18" s="209">
        <v>-451715.36000000034</v>
      </c>
      <c r="J18" s="209">
        <v>-616.25560709413412</v>
      </c>
      <c r="L18" s="209" t="s">
        <v>30</v>
      </c>
      <c r="M18" s="209">
        <v>5096463.18</v>
      </c>
      <c r="N18" s="209">
        <v>7178.1171549295768</v>
      </c>
      <c r="O18" s="209">
        <v>-208385.76999999955</v>
      </c>
      <c r="P18" s="209">
        <v>-293.50108450704164</v>
      </c>
      <c r="R18" s="209" t="s">
        <v>30</v>
      </c>
      <c r="S18" s="209">
        <f t="shared" si="0"/>
        <v>67176.240000000224</v>
      </c>
      <c r="T18" s="209">
        <f t="shared" si="1"/>
        <v>-133.58861468401119</v>
      </c>
      <c r="U18" s="209">
        <f t="shared" si="2"/>
        <v>-243329.59000000078</v>
      </c>
      <c r="V18" s="209">
        <f t="shared" si="3"/>
        <v>-322.75452258709248</v>
      </c>
      <c r="X18" s="4" t="s">
        <v>848</v>
      </c>
      <c r="Y18" s="4"/>
      <c r="Z18" s="210">
        <f>Z8+Z16</f>
        <v>23952174.419999965</v>
      </c>
    </row>
    <row r="19" spans="1:26" x14ac:dyDescent="0.25">
      <c r="A19" s="209" t="s">
        <v>11</v>
      </c>
      <c r="B19" s="209">
        <v>1265824</v>
      </c>
      <c r="C19" s="209">
        <v>4636.7179487179483</v>
      </c>
      <c r="D19" s="209">
        <v>444901.06999999983</v>
      </c>
      <c r="E19" s="209">
        <v>1629.6742490842485</v>
      </c>
      <c r="G19" s="209">
        <v>1238569.5</v>
      </c>
      <c r="H19" s="209">
        <v>4587.2944444444447</v>
      </c>
      <c r="I19" s="209">
        <v>448146.76</v>
      </c>
      <c r="J19" s="209">
        <v>1659.8028148148148</v>
      </c>
      <c r="L19" s="209" t="s">
        <v>11</v>
      </c>
      <c r="M19" s="209">
        <v>937461.24</v>
      </c>
      <c r="N19" s="209">
        <v>3484.9860223048327</v>
      </c>
      <c r="O19" s="209">
        <v>295523.71999999974</v>
      </c>
      <c r="P19" s="209">
        <v>1098.6011895910772</v>
      </c>
      <c r="R19" s="209" t="s">
        <v>11</v>
      </c>
      <c r="S19" s="209">
        <f t="shared" si="0"/>
        <v>301108.26</v>
      </c>
      <c r="T19" s="209">
        <f t="shared" si="1"/>
        <v>1102.308422139612</v>
      </c>
      <c r="U19" s="209">
        <f t="shared" si="2"/>
        <v>152623.04000000027</v>
      </c>
      <c r="V19" s="209">
        <f t="shared" si="3"/>
        <v>561.20162522373766</v>
      </c>
    </row>
    <row r="20" spans="1:26" x14ac:dyDescent="0.25">
      <c r="A20" s="209" t="s">
        <v>58</v>
      </c>
      <c r="B20" s="209">
        <v>3294471.8600000003</v>
      </c>
      <c r="C20" s="209">
        <v>7643.7862180974489</v>
      </c>
      <c r="D20" s="209">
        <v>1713154.3600000003</v>
      </c>
      <c r="E20" s="209">
        <v>3974.836102088168</v>
      </c>
      <c r="G20" s="209">
        <v>3504832.67</v>
      </c>
      <c r="H20" s="209">
        <v>8404.8745083932845</v>
      </c>
      <c r="I20" s="209">
        <v>1914576.7699999998</v>
      </c>
      <c r="J20" s="209">
        <v>4591.311199040767</v>
      </c>
      <c r="L20" s="209" t="s">
        <v>58</v>
      </c>
      <c r="M20" s="209">
        <v>3792930.42</v>
      </c>
      <c r="N20" s="209">
        <v>8620.2964090909081</v>
      </c>
      <c r="O20" s="209">
        <v>1952635.5100000002</v>
      </c>
      <c r="P20" s="209">
        <v>4437.8079772727278</v>
      </c>
      <c r="R20" s="209" t="s">
        <v>58</v>
      </c>
      <c r="S20" s="209">
        <f t="shared" si="0"/>
        <v>-288097.75</v>
      </c>
      <c r="T20" s="209">
        <f t="shared" si="1"/>
        <v>-215.42190069762364</v>
      </c>
      <c r="U20" s="209">
        <f t="shared" si="2"/>
        <v>-38058.740000000456</v>
      </c>
      <c r="V20" s="209">
        <f t="shared" si="3"/>
        <v>153.50322176803911</v>
      </c>
    </row>
    <row r="21" spans="1:26" x14ac:dyDescent="0.25">
      <c r="A21" s="209" t="s">
        <v>26</v>
      </c>
      <c r="B21" s="209">
        <v>15597037.949999999</v>
      </c>
      <c r="C21" s="209">
        <v>4771.1954573263993</v>
      </c>
      <c r="D21" s="209">
        <v>10958343.489999998</v>
      </c>
      <c r="E21" s="209">
        <v>3352.2005169776685</v>
      </c>
      <c r="G21" s="209">
        <v>15800389.75</v>
      </c>
      <c r="H21" s="209">
        <v>4809.8598934550992</v>
      </c>
      <c r="I21" s="209">
        <v>11431295.439999999</v>
      </c>
      <c r="J21" s="209">
        <v>3479.8464048706237</v>
      </c>
      <c r="L21" s="209" t="s">
        <v>26</v>
      </c>
      <c r="M21" s="209">
        <v>16447939.57</v>
      </c>
      <c r="N21" s="209">
        <v>5093.818386497368</v>
      </c>
      <c r="O21" s="209">
        <v>10826918.77</v>
      </c>
      <c r="P21" s="209">
        <v>3353.0253236296066</v>
      </c>
      <c r="R21" s="209" t="s">
        <v>26</v>
      </c>
      <c r="S21" s="209">
        <f t="shared" si="0"/>
        <v>-647549.8200000003</v>
      </c>
      <c r="T21" s="209">
        <f t="shared" si="1"/>
        <v>-283.95849304226886</v>
      </c>
      <c r="U21" s="209">
        <f t="shared" si="2"/>
        <v>604376.66999999993</v>
      </c>
      <c r="V21" s="209">
        <f t="shared" si="3"/>
        <v>126.82108124101705</v>
      </c>
    </row>
    <row r="22" spans="1:26" x14ac:dyDescent="0.25">
      <c r="A22" s="209" t="s">
        <v>29</v>
      </c>
      <c r="B22" s="209">
        <v>454326.2</v>
      </c>
      <c r="C22" s="209">
        <v>1489.5940983606558</v>
      </c>
      <c r="D22" s="209">
        <v>-1203423.29</v>
      </c>
      <c r="E22" s="209">
        <v>-3945.6501311475413</v>
      </c>
      <c r="G22" s="209">
        <v>484046.2</v>
      </c>
      <c r="H22" s="209">
        <v>1571.5785714285714</v>
      </c>
      <c r="I22" s="209">
        <v>-1095128.52</v>
      </c>
      <c r="J22" s="209">
        <v>-3555.6120779220778</v>
      </c>
      <c r="L22" s="209" t="s">
        <v>29</v>
      </c>
      <c r="M22" s="209">
        <v>602341.19999999995</v>
      </c>
      <c r="N22" s="209">
        <v>1943.0361290322578</v>
      </c>
      <c r="O22" s="209">
        <v>-1258764.1999999997</v>
      </c>
      <c r="P22" s="209">
        <v>-4060.5296774193539</v>
      </c>
      <c r="R22" s="209" t="s">
        <v>29</v>
      </c>
      <c r="S22" s="209">
        <f t="shared" si="0"/>
        <v>-118294.99999999994</v>
      </c>
      <c r="T22" s="209">
        <f t="shared" si="1"/>
        <v>-371.45755760368638</v>
      </c>
      <c r="U22" s="209">
        <f t="shared" si="2"/>
        <v>163635.6799999997</v>
      </c>
      <c r="V22" s="209">
        <f t="shared" si="3"/>
        <v>504.91759949727611</v>
      </c>
    </row>
    <row r="23" spans="1:26" x14ac:dyDescent="0.25">
      <c r="A23" s="209" t="s">
        <v>19</v>
      </c>
      <c r="B23" s="209">
        <v>8070627.1899999995</v>
      </c>
      <c r="C23" s="209">
        <v>6446.1878514376995</v>
      </c>
      <c r="D23" s="209">
        <v>4654764.13</v>
      </c>
      <c r="E23" s="209">
        <v>3717.8627236421726</v>
      </c>
      <c r="G23" s="209">
        <v>9591959.379999999</v>
      </c>
      <c r="H23" s="209">
        <v>7624.7689825119232</v>
      </c>
      <c r="I23" s="209">
        <v>5704163.3599999994</v>
      </c>
      <c r="J23" s="209">
        <v>4534.3110969793315</v>
      </c>
      <c r="L23" s="209" t="s">
        <v>19</v>
      </c>
      <c r="M23" s="209">
        <v>10692583.640000001</v>
      </c>
      <c r="N23" s="209">
        <v>8419.3571968503948</v>
      </c>
      <c r="O23" s="209">
        <v>6440242.9599999981</v>
      </c>
      <c r="P23" s="209">
        <v>5071.0574488188959</v>
      </c>
      <c r="R23" s="209" t="s">
        <v>19</v>
      </c>
      <c r="S23" s="209">
        <f t="shared" si="0"/>
        <v>-1100624.2600000016</v>
      </c>
      <c r="T23" s="209">
        <f t="shared" si="1"/>
        <v>-794.58821433847152</v>
      </c>
      <c r="U23" s="209">
        <f t="shared" si="2"/>
        <v>-736079.5999999987</v>
      </c>
      <c r="V23" s="209">
        <f t="shared" si="3"/>
        <v>-536.74635183956434</v>
      </c>
    </row>
    <row r="24" spans="1:26" x14ac:dyDescent="0.25">
      <c r="A24" s="209" t="s">
        <v>44</v>
      </c>
      <c r="B24" s="209">
        <v>3570934.01</v>
      </c>
      <c r="C24" s="209">
        <v>2174.7466565164432</v>
      </c>
      <c r="D24" s="209">
        <v>-18897615.359999999</v>
      </c>
      <c r="E24" s="209">
        <v>-11508.900950060901</v>
      </c>
      <c r="G24" s="209">
        <v>4910683.17</v>
      </c>
      <c r="H24" s="209">
        <v>3222.2330511811024</v>
      </c>
      <c r="I24" s="209">
        <v>-13726562.160000002</v>
      </c>
      <c r="J24" s="209">
        <v>-9006.9305511811035</v>
      </c>
      <c r="L24" s="209" t="s">
        <v>44</v>
      </c>
      <c r="M24" s="209">
        <v>8479268.8499999996</v>
      </c>
      <c r="N24" s="209">
        <v>5630.3246015936256</v>
      </c>
      <c r="O24" s="209">
        <v>-10380295.779999997</v>
      </c>
      <c r="P24" s="209">
        <v>-6892.6266799468776</v>
      </c>
      <c r="R24" s="209" t="s">
        <v>44</v>
      </c>
      <c r="S24" s="209">
        <f t="shared" si="0"/>
        <v>-3568585.6799999997</v>
      </c>
      <c r="T24" s="209">
        <f t="shared" si="1"/>
        <v>-2408.0915504125232</v>
      </c>
      <c r="U24" s="209">
        <f t="shared" si="2"/>
        <v>-3346266.3800000045</v>
      </c>
      <c r="V24" s="209">
        <f t="shared" si="3"/>
        <v>-2114.3038712342259</v>
      </c>
    </row>
    <row r="25" spans="1:26" x14ac:dyDescent="0.25">
      <c r="A25" s="209" t="s">
        <v>70</v>
      </c>
      <c r="B25" s="209">
        <v>0</v>
      </c>
      <c r="C25" s="209">
        <v>0</v>
      </c>
      <c r="D25" s="209">
        <v>0</v>
      </c>
      <c r="E25" s="209">
        <v>0</v>
      </c>
      <c r="G25" s="209">
        <v>1134572.45</v>
      </c>
      <c r="H25" s="209">
        <v>13041.06264367816</v>
      </c>
      <c r="I25" s="209">
        <v>89722.550000000047</v>
      </c>
      <c r="J25" s="209">
        <v>1031.2936781609201</v>
      </c>
      <c r="L25" s="209" t="s">
        <v>70</v>
      </c>
      <c r="M25" s="209">
        <v>835119.4</v>
      </c>
      <c r="N25" s="209">
        <v>8699.1604166666675</v>
      </c>
      <c r="O25" s="209">
        <v>74018.899999999907</v>
      </c>
      <c r="P25" s="209">
        <v>771.03020833333233</v>
      </c>
      <c r="R25" s="209" t="s">
        <v>70</v>
      </c>
      <c r="S25" s="209">
        <f t="shared" si="0"/>
        <v>299453.04999999993</v>
      </c>
      <c r="T25" s="209">
        <f t="shared" si="1"/>
        <v>4341.9022270114929</v>
      </c>
      <c r="U25" s="209">
        <f t="shared" si="2"/>
        <v>15703.65000000014</v>
      </c>
      <c r="V25" s="209">
        <f t="shared" si="3"/>
        <v>260.26346982758776</v>
      </c>
    </row>
    <row r="26" spans="1:26" x14ac:dyDescent="0.25">
      <c r="A26" s="209" t="s">
        <v>38</v>
      </c>
      <c r="B26" s="209">
        <v>1221246.05</v>
      </c>
      <c r="C26" s="209">
        <v>8196.2822147651004</v>
      </c>
      <c r="D26" s="209">
        <v>-311705.83000000031</v>
      </c>
      <c r="E26" s="209">
        <v>-2091.9854362416127</v>
      </c>
      <c r="G26" s="209">
        <v>1304927.81</v>
      </c>
      <c r="H26" s="209">
        <v>8364.9218589743596</v>
      </c>
      <c r="I26" s="209">
        <v>-211024.80999999982</v>
      </c>
      <c r="J26" s="209">
        <v>-1352.72314102564</v>
      </c>
      <c r="L26" s="209" t="s">
        <v>38</v>
      </c>
      <c r="M26" s="209">
        <v>1218430.55</v>
      </c>
      <c r="N26" s="209">
        <v>8232.6388513513521</v>
      </c>
      <c r="O26" s="209">
        <v>-323523.36999999988</v>
      </c>
      <c r="P26" s="209">
        <v>-2185.9687162162154</v>
      </c>
      <c r="R26" s="209" t="s">
        <v>38</v>
      </c>
      <c r="S26" s="209">
        <f t="shared" si="0"/>
        <v>86497.260000000009</v>
      </c>
      <c r="T26" s="209">
        <f t="shared" si="1"/>
        <v>132.28300762300751</v>
      </c>
      <c r="U26" s="209">
        <f t="shared" si="2"/>
        <v>112498.56000000006</v>
      </c>
      <c r="V26" s="209">
        <f t="shared" si="3"/>
        <v>833.24557519057544</v>
      </c>
    </row>
    <row r="27" spans="1:26" x14ac:dyDescent="0.25">
      <c r="A27" s="209" t="s">
        <v>18</v>
      </c>
      <c r="B27" s="209">
        <v>4313052.78</v>
      </c>
      <c r="C27" s="209">
        <v>8456.9662352941177</v>
      </c>
      <c r="D27" s="209">
        <v>1602894.2400000002</v>
      </c>
      <c r="E27" s="209">
        <v>3142.9298823529416</v>
      </c>
      <c r="G27" s="209">
        <v>4608813.3499999996</v>
      </c>
      <c r="H27" s="209">
        <v>9036.8889215686268</v>
      </c>
      <c r="I27" s="209">
        <v>1427041.8800000008</v>
      </c>
      <c r="J27" s="209">
        <v>2798.1213333333349</v>
      </c>
      <c r="L27" s="209" t="s">
        <v>18</v>
      </c>
      <c r="M27" s="209">
        <v>4296735.43</v>
      </c>
      <c r="N27" s="209">
        <v>8294.8560424710413</v>
      </c>
      <c r="O27" s="209">
        <v>1349453.5100000002</v>
      </c>
      <c r="P27" s="209">
        <v>2605.1226061776065</v>
      </c>
      <c r="R27" s="209" t="s">
        <v>18</v>
      </c>
      <c r="S27" s="209">
        <f t="shared" si="0"/>
        <v>312077.91999999993</v>
      </c>
      <c r="T27" s="209">
        <f t="shared" si="1"/>
        <v>742.03287909758546</v>
      </c>
      <c r="U27" s="209">
        <f t="shared" si="2"/>
        <v>77588.370000000577</v>
      </c>
      <c r="V27" s="209">
        <f t="shared" si="3"/>
        <v>192.99872715572837</v>
      </c>
    </row>
    <row r="28" spans="1:26" x14ac:dyDescent="0.25">
      <c r="A28" s="209" t="s">
        <v>40</v>
      </c>
      <c r="B28" s="209">
        <v>6837332.4500000002</v>
      </c>
      <c r="C28" s="209">
        <v>9630.0457042253529</v>
      </c>
      <c r="D28" s="209">
        <v>5212767.07</v>
      </c>
      <c r="E28" s="209">
        <v>7341.925450704226</v>
      </c>
      <c r="G28" s="209">
        <v>7610270.8499999996</v>
      </c>
      <c r="H28" s="209">
        <v>10794.710425531914</v>
      </c>
      <c r="I28" s="209">
        <v>5732641.0899999999</v>
      </c>
      <c r="J28" s="209">
        <v>8131.4058014184393</v>
      </c>
      <c r="L28" s="209" t="s">
        <v>40</v>
      </c>
      <c r="M28" s="209">
        <v>7161605.1599999992</v>
      </c>
      <c r="N28" s="209">
        <v>10216.269843081311</v>
      </c>
      <c r="O28" s="209">
        <v>4615930.29</v>
      </c>
      <c r="P28" s="209">
        <v>6584.7793009985735</v>
      </c>
      <c r="R28" s="209" t="s">
        <v>40</v>
      </c>
      <c r="S28" s="209">
        <f t="shared" si="0"/>
        <v>448665.69000000041</v>
      </c>
      <c r="T28" s="209">
        <f t="shared" si="1"/>
        <v>578.44058245060296</v>
      </c>
      <c r="U28" s="209">
        <f t="shared" si="2"/>
        <v>1116710.7999999998</v>
      </c>
      <c r="V28" s="209">
        <f t="shared" si="3"/>
        <v>1546.6265004198658</v>
      </c>
    </row>
    <row r="29" spans="1:26" x14ac:dyDescent="0.25">
      <c r="A29" s="209" t="s">
        <v>35</v>
      </c>
      <c r="B29" s="209">
        <v>3801987.73</v>
      </c>
      <c r="C29" s="209">
        <v>6717.2928091872791</v>
      </c>
      <c r="D29" s="209">
        <v>2044065.0999999996</v>
      </c>
      <c r="E29" s="209">
        <v>3611.4224381625436</v>
      </c>
      <c r="G29" s="209">
        <v>3903441.63</v>
      </c>
      <c r="H29" s="209">
        <v>7084.286079854809</v>
      </c>
      <c r="I29" s="209">
        <v>2011074.1099999999</v>
      </c>
      <c r="J29" s="209">
        <v>3649.8622686025406</v>
      </c>
      <c r="L29" s="209" t="s">
        <v>35</v>
      </c>
      <c r="M29" s="209">
        <v>3750609.31</v>
      </c>
      <c r="N29" s="209">
        <v>6650.0165070921985</v>
      </c>
      <c r="O29" s="209">
        <v>1426544.4699999997</v>
      </c>
      <c r="P29" s="209">
        <v>2529.3341666666661</v>
      </c>
      <c r="R29" s="209" t="s">
        <v>35</v>
      </c>
      <c r="S29" s="209">
        <f t="shared" si="0"/>
        <v>152832.31999999983</v>
      </c>
      <c r="T29" s="209">
        <f t="shared" si="1"/>
        <v>434.26957276261055</v>
      </c>
      <c r="U29" s="209">
        <f t="shared" si="2"/>
        <v>584529.64000000013</v>
      </c>
      <c r="V29" s="209">
        <f t="shared" si="3"/>
        <v>1120.5281019358745</v>
      </c>
    </row>
    <row r="30" spans="1:26" x14ac:dyDescent="0.25">
      <c r="A30" s="209" t="s">
        <v>7</v>
      </c>
      <c r="B30" s="209">
        <v>382520.72</v>
      </c>
      <c r="C30" s="209">
        <v>752.99354330708661</v>
      </c>
      <c r="D30" s="209">
        <v>-2310653.7200000007</v>
      </c>
      <c r="E30" s="209">
        <v>-4548.5309448818907</v>
      </c>
      <c r="G30" s="209">
        <v>972078.66999999993</v>
      </c>
      <c r="H30" s="209">
        <v>1902.3065949119373</v>
      </c>
      <c r="I30" s="209">
        <v>-2267097.36</v>
      </c>
      <c r="J30" s="209">
        <v>-4436.5897455968689</v>
      </c>
      <c r="L30" s="209" t="s">
        <v>7</v>
      </c>
      <c r="M30" s="209">
        <v>1159077.93</v>
      </c>
      <c r="N30" s="209">
        <v>2207.7674857142856</v>
      </c>
      <c r="O30" s="209">
        <v>-2814009.3600000003</v>
      </c>
      <c r="P30" s="209">
        <v>-5360.0178285714292</v>
      </c>
      <c r="R30" s="209" t="s">
        <v>7</v>
      </c>
      <c r="S30" s="209">
        <f t="shared" si="0"/>
        <v>-186999.26</v>
      </c>
      <c r="T30" s="209">
        <f t="shared" si="1"/>
        <v>-305.46089080234833</v>
      </c>
      <c r="U30" s="209">
        <f t="shared" si="2"/>
        <v>546912.00000000047</v>
      </c>
      <c r="V30" s="209">
        <f t="shared" si="3"/>
        <v>923.42808297456031</v>
      </c>
    </row>
    <row r="31" spans="1:26" x14ac:dyDescent="0.25">
      <c r="A31" s="209" t="s">
        <v>54</v>
      </c>
      <c r="B31" s="209">
        <v>5158320.07</v>
      </c>
      <c r="C31" s="209">
        <v>2635.8303883495146</v>
      </c>
      <c r="D31" s="209">
        <v>-2526301.2300000014</v>
      </c>
      <c r="E31" s="209">
        <v>-1290.9050740930002</v>
      </c>
      <c r="G31" s="209">
        <v>5453381.3700000001</v>
      </c>
      <c r="H31" s="209">
        <v>2867.1826340694006</v>
      </c>
      <c r="I31" s="209">
        <v>-2397710.830000001</v>
      </c>
      <c r="J31" s="209">
        <v>-1260.6260935856999</v>
      </c>
      <c r="L31" s="209" t="s">
        <v>54</v>
      </c>
      <c r="M31" s="209">
        <v>6404302.0600000005</v>
      </c>
      <c r="N31" s="209">
        <v>3354.7941644840234</v>
      </c>
      <c r="O31" s="209">
        <v>-1433431.5900000008</v>
      </c>
      <c r="P31" s="209">
        <v>-750.88087480356251</v>
      </c>
      <c r="R31" s="209" t="s">
        <v>54</v>
      </c>
      <c r="S31" s="209">
        <f t="shared" si="0"/>
        <v>-950920.69000000041</v>
      </c>
      <c r="T31" s="209">
        <f t="shared" si="1"/>
        <v>-487.61153041462285</v>
      </c>
      <c r="U31" s="209">
        <f t="shared" si="2"/>
        <v>-964279.24000000022</v>
      </c>
      <c r="V31" s="209">
        <f t="shared" si="3"/>
        <v>-509.74521878213739</v>
      </c>
    </row>
    <row r="32" spans="1:26" x14ac:dyDescent="0.25">
      <c r="A32" s="209" t="s">
        <v>20</v>
      </c>
      <c r="B32" s="209">
        <v>15539252.220000001</v>
      </c>
      <c r="C32" s="209">
        <v>6051.1106775700937</v>
      </c>
      <c r="D32" s="209">
        <v>5308249.0700000022</v>
      </c>
      <c r="E32" s="209">
        <v>2067.0751830218078</v>
      </c>
      <c r="G32" s="209">
        <v>16154715.800000001</v>
      </c>
      <c r="H32" s="209">
        <v>6273.6760388349521</v>
      </c>
      <c r="I32" s="209">
        <v>7074721.7599999998</v>
      </c>
      <c r="J32" s="209">
        <v>2747.4647611650485</v>
      </c>
      <c r="L32" s="209" t="s">
        <v>20</v>
      </c>
      <c r="M32" s="209">
        <v>16877793.98</v>
      </c>
      <c r="N32" s="209">
        <v>6541.7806124031013</v>
      </c>
      <c r="O32" s="209">
        <v>8313209.2300000023</v>
      </c>
      <c r="P32" s="209">
        <v>3222.1741201550399</v>
      </c>
      <c r="R32" s="209" t="s">
        <v>20</v>
      </c>
      <c r="S32" s="209">
        <f t="shared" si="0"/>
        <v>-723078.1799999997</v>
      </c>
      <c r="T32" s="209">
        <f t="shared" si="1"/>
        <v>-268.10457356814914</v>
      </c>
      <c r="U32" s="209">
        <f t="shared" si="2"/>
        <v>-1238487.4700000025</v>
      </c>
      <c r="V32" s="209">
        <f t="shared" si="3"/>
        <v>-474.70935898999142</v>
      </c>
    </row>
    <row r="33" spans="1:22" x14ac:dyDescent="0.25">
      <c r="A33" s="209" t="s">
        <v>6</v>
      </c>
      <c r="B33" s="209">
        <v>1622719.02</v>
      </c>
      <c r="C33" s="209">
        <v>6789.6193305439328</v>
      </c>
      <c r="D33" s="209">
        <v>-121150.15999999992</v>
      </c>
      <c r="E33" s="209">
        <v>-506.90443514644318</v>
      </c>
      <c r="G33" s="209">
        <v>1609645.3</v>
      </c>
      <c r="H33" s="209">
        <v>7059.8478070175443</v>
      </c>
      <c r="I33" s="209">
        <v>-234773.74</v>
      </c>
      <c r="J33" s="209">
        <v>-1029.7093859649121</v>
      </c>
      <c r="L33" s="209" t="s">
        <v>6</v>
      </c>
      <c r="M33" s="209">
        <v>1682030.3399999999</v>
      </c>
      <c r="N33" s="209">
        <v>7576.7132432432427</v>
      </c>
      <c r="O33" s="209">
        <v>-88268.129999999655</v>
      </c>
      <c r="P33" s="209">
        <v>-397.60418918918765</v>
      </c>
      <c r="R33" s="209" t="s">
        <v>6</v>
      </c>
      <c r="S33" s="209">
        <f t="shared" si="0"/>
        <v>-72385.039999999804</v>
      </c>
      <c r="T33" s="209">
        <f t="shared" si="1"/>
        <v>-516.86543622569843</v>
      </c>
      <c r="U33" s="209">
        <f t="shared" si="2"/>
        <v>-146505.61000000034</v>
      </c>
      <c r="V33" s="209">
        <f t="shared" si="3"/>
        <v>-632.10519677572449</v>
      </c>
    </row>
    <row r="34" spans="1:22" x14ac:dyDescent="0.25">
      <c r="A34" s="209" t="s">
        <v>33</v>
      </c>
      <c r="B34" s="209">
        <v>726096.01</v>
      </c>
      <c r="C34" s="209">
        <v>5808.7680799999998</v>
      </c>
      <c r="D34" s="209">
        <v>-1098503.99</v>
      </c>
      <c r="E34" s="209">
        <v>-8788.0319199999994</v>
      </c>
      <c r="G34" s="209">
        <v>863363.16</v>
      </c>
      <c r="H34" s="209">
        <v>7316.6369491525429</v>
      </c>
      <c r="I34" s="209">
        <v>-1178728.1100000001</v>
      </c>
      <c r="J34" s="209">
        <v>-9989.2212711864413</v>
      </c>
      <c r="L34" s="209" t="s">
        <v>33</v>
      </c>
      <c r="M34" s="209">
        <v>1032153.5</v>
      </c>
      <c r="N34" s="209">
        <v>8001.1899224806202</v>
      </c>
      <c r="O34" s="209">
        <v>-1005628.19</v>
      </c>
      <c r="P34" s="209">
        <v>-7795.5673643410846</v>
      </c>
      <c r="R34" s="209" t="s">
        <v>33</v>
      </c>
      <c r="S34" s="209">
        <f t="shared" si="0"/>
        <v>-168790.33999999997</v>
      </c>
      <c r="T34" s="209">
        <f t="shared" si="1"/>
        <v>-684.55297332807731</v>
      </c>
      <c r="U34" s="209">
        <f t="shared" si="2"/>
        <v>-173099.92000000016</v>
      </c>
      <c r="V34" s="209">
        <f t="shared" si="3"/>
        <v>-2193.6539068453567</v>
      </c>
    </row>
    <row r="35" spans="1:22" x14ac:dyDescent="0.25">
      <c r="A35" s="209" t="s">
        <v>51</v>
      </c>
      <c r="B35" s="209">
        <v>16904412.780000001</v>
      </c>
      <c r="C35" s="209">
        <v>8864.4010382800225</v>
      </c>
      <c r="D35" s="209">
        <v>10810326.440000001</v>
      </c>
      <c r="E35" s="209">
        <v>5668.7605873099119</v>
      </c>
      <c r="G35" s="209">
        <v>17609687.100000001</v>
      </c>
      <c r="H35" s="209">
        <v>9356.9006907545172</v>
      </c>
      <c r="I35" s="209">
        <v>11642148.41</v>
      </c>
      <c r="J35" s="209">
        <v>6186.0512274176408</v>
      </c>
      <c r="L35" s="209" t="s">
        <v>51</v>
      </c>
      <c r="M35" s="209">
        <v>18004708.100000001</v>
      </c>
      <c r="N35" s="209">
        <v>9521.2628767847709</v>
      </c>
      <c r="O35" s="209">
        <v>12776514.859999999</v>
      </c>
      <c r="P35" s="209">
        <v>6756.4859122157586</v>
      </c>
      <c r="R35" s="209" t="s">
        <v>51</v>
      </c>
      <c r="S35" s="209">
        <f t="shared" si="0"/>
        <v>-395021</v>
      </c>
      <c r="T35" s="209">
        <f t="shared" si="1"/>
        <v>-164.36218603025372</v>
      </c>
      <c r="U35" s="209">
        <f t="shared" si="2"/>
        <v>-1134366.4499999993</v>
      </c>
      <c r="V35" s="209">
        <f t="shared" si="3"/>
        <v>-570.43468479811781</v>
      </c>
    </row>
    <row r="36" spans="1:22" x14ac:dyDescent="0.25">
      <c r="A36" s="209" t="s">
        <v>13</v>
      </c>
      <c r="B36" s="209">
        <v>7843797.9399999995</v>
      </c>
      <c r="C36" s="209">
        <v>6916.929400352733</v>
      </c>
      <c r="D36" s="209">
        <v>2588368.83</v>
      </c>
      <c r="E36" s="209">
        <v>2282.5121957671959</v>
      </c>
      <c r="G36" s="209">
        <v>8847212.5500000007</v>
      </c>
      <c r="H36" s="209">
        <v>7941.8425044883306</v>
      </c>
      <c r="I36" s="209">
        <v>3685339.5900000008</v>
      </c>
      <c r="J36" s="209">
        <v>3308.2042998204674</v>
      </c>
      <c r="L36" s="209" t="s">
        <v>13</v>
      </c>
      <c r="M36" s="209">
        <v>9560475.8900000006</v>
      </c>
      <c r="N36" s="209">
        <v>8490.6535435168753</v>
      </c>
      <c r="O36" s="209">
        <v>4295688.8199999994</v>
      </c>
      <c r="P36" s="209">
        <v>3814.9989520426284</v>
      </c>
      <c r="R36" s="209" t="s">
        <v>13</v>
      </c>
      <c r="S36" s="209">
        <f t="shared" si="0"/>
        <v>-713263.33999999985</v>
      </c>
      <c r="T36" s="209">
        <f t="shared" si="1"/>
        <v>-548.81103902854466</v>
      </c>
      <c r="U36" s="209">
        <f t="shared" si="2"/>
        <v>-610349.22999999858</v>
      </c>
      <c r="V36" s="209">
        <f t="shared" si="3"/>
        <v>-506.79465222216095</v>
      </c>
    </row>
    <row r="37" spans="1:22" x14ac:dyDescent="0.25">
      <c r="A37" s="209" t="s">
        <v>31</v>
      </c>
      <c r="B37" s="209">
        <v>12263659.08</v>
      </c>
      <c r="C37" s="209">
        <v>10194.230324189526</v>
      </c>
      <c r="D37" s="209">
        <v>7182883.3799999999</v>
      </c>
      <c r="E37" s="209">
        <v>5970.8091271820449</v>
      </c>
      <c r="G37" s="209">
        <v>11590493.5</v>
      </c>
      <c r="H37" s="209">
        <v>9523.8237469186515</v>
      </c>
      <c r="I37" s="209">
        <v>6512358.330000001</v>
      </c>
      <c r="J37" s="209">
        <v>5351.1572144617921</v>
      </c>
      <c r="L37" s="209" t="s">
        <v>31</v>
      </c>
      <c r="M37" s="209">
        <v>11290231.99</v>
      </c>
      <c r="N37" s="209">
        <v>9216.5159102040816</v>
      </c>
      <c r="O37" s="209">
        <v>6419097.7300000004</v>
      </c>
      <c r="P37" s="209">
        <v>5240.079779591837</v>
      </c>
      <c r="R37" s="209" t="s">
        <v>31</v>
      </c>
      <c r="S37" s="209">
        <f t="shared" si="0"/>
        <v>300261.50999999978</v>
      </c>
      <c r="T37" s="209">
        <f t="shared" si="1"/>
        <v>307.30783671456993</v>
      </c>
      <c r="U37" s="209">
        <f t="shared" si="2"/>
        <v>93260.600000000559</v>
      </c>
      <c r="V37" s="209">
        <f t="shared" si="3"/>
        <v>111.07743486995514</v>
      </c>
    </row>
    <row r="38" spans="1:22" x14ac:dyDescent="0.25">
      <c r="A38" s="209" t="s">
        <v>28</v>
      </c>
      <c r="B38" s="209">
        <v>1401513.22</v>
      </c>
      <c r="C38" s="209">
        <v>12513.510892857143</v>
      </c>
      <c r="D38" s="209">
        <v>-74131.520000000019</v>
      </c>
      <c r="E38" s="209">
        <v>-661.88857142857159</v>
      </c>
      <c r="G38" s="209">
        <v>1403451.52</v>
      </c>
      <c r="H38" s="209">
        <v>11995.312136752136</v>
      </c>
      <c r="I38" s="209">
        <v>-81076.300000000047</v>
      </c>
      <c r="J38" s="209">
        <v>-692.95982905982942</v>
      </c>
      <c r="L38" s="209" t="s">
        <v>28</v>
      </c>
      <c r="M38" s="209">
        <v>1609835.59</v>
      </c>
      <c r="N38" s="209">
        <v>13759.278547008547</v>
      </c>
      <c r="O38" s="209">
        <v>-68973.139999999898</v>
      </c>
      <c r="P38" s="209">
        <v>-589.51401709401625</v>
      </c>
      <c r="R38" s="209" t="s">
        <v>28</v>
      </c>
      <c r="S38" s="209">
        <f t="shared" si="0"/>
        <v>-206384.07000000007</v>
      </c>
      <c r="T38" s="209">
        <f t="shared" si="1"/>
        <v>-1763.9664102564111</v>
      </c>
      <c r="U38" s="209">
        <f t="shared" si="2"/>
        <v>-12103.160000000149</v>
      </c>
      <c r="V38" s="209">
        <f t="shared" si="3"/>
        <v>-103.44581196581316</v>
      </c>
    </row>
    <row r="39" spans="1:22" x14ac:dyDescent="0.25">
      <c r="A39" s="209" t="s">
        <v>25</v>
      </c>
      <c r="B39" s="209">
        <v>8616546.5099999998</v>
      </c>
      <c r="C39" s="209">
        <v>7358.280538001708</v>
      </c>
      <c r="D39" s="209">
        <v>-7028953.0700000003</v>
      </c>
      <c r="E39" s="209">
        <v>-6002.5218360375748</v>
      </c>
      <c r="G39" s="209">
        <v>8994469.7599999998</v>
      </c>
      <c r="H39" s="209">
        <v>7464.2902572614103</v>
      </c>
      <c r="I39" s="209">
        <v>-5341469.129999999</v>
      </c>
      <c r="J39" s="209">
        <v>-4432.7544647302893</v>
      </c>
      <c r="L39" s="209" t="s">
        <v>25</v>
      </c>
      <c r="M39" s="209">
        <v>9467167.8599999994</v>
      </c>
      <c r="N39" s="209">
        <v>7989.1711898734175</v>
      </c>
      <c r="O39" s="209">
        <v>-4253300.6399999987</v>
      </c>
      <c r="P39" s="209">
        <v>-3589.2832405063282</v>
      </c>
      <c r="R39" s="209" t="s">
        <v>25</v>
      </c>
      <c r="S39" s="209">
        <f t="shared" si="0"/>
        <v>-472698.09999999963</v>
      </c>
      <c r="T39" s="209">
        <f t="shared" si="1"/>
        <v>-524.8809326120072</v>
      </c>
      <c r="U39" s="209">
        <f t="shared" si="2"/>
        <v>-1088168.4900000002</v>
      </c>
      <c r="V39" s="209">
        <f t="shared" si="3"/>
        <v>-843.47122422396114</v>
      </c>
    </row>
    <row r="40" spans="1:22" x14ac:dyDescent="0.25">
      <c r="A40" s="209" t="s">
        <v>47</v>
      </c>
      <c r="B40" s="209">
        <v>4939829.34</v>
      </c>
      <c r="C40" s="209">
        <v>7541.7241832061063</v>
      </c>
      <c r="D40" s="209">
        <v>2433910.9000000004</v>
      </c>
      <c r="E40" s="209">
        <v>3715.8945038167944</v>
      </c>
      <c r="G40" s="209">
        <v>5282352.57</v>
      </c>
      <c r="H40" s="209">
        <v>8451.7641120000008</v>
      </c>
      <c r="I40" s="209">
        <v>1986975.6799999997</v>
      </c>
      <c r="J40" s="209">
        <v>3179.1610879999994</v>
      </c>
      <c r="L40" s="209" t="s">
        <v>47</v>
      </c>
      <c r="M40" s="209">
        <v>5060879.72</v>
      </c>
      <c r="N40" s="209">
        <v>7882.9902180685358</v>
      </c>
      <c r="O40" s="209">
        <v>1394899.9899999998</v>
      </c>
      <c r="P40" s="209">
        <v>2172.7414174454825</v>
      </c>
      <c r="R40" s="209" t="s">
        <v>47</v>
      </c>
      <c r="S40" s="209">
        <f t="shared" si="0"/>
        <v>221472.85000000056</v>
      </c>
      <c r="T40" s="209">
        <f t="shared" si="1"/>
        <v>568.77389393146495</v>
      </c>
      <c r="U40" s="209">
        <f t="shared" si="2"/>
        <v>592075.68999999994</v>
      </c>
      <c r="V40" s="209">
        <f t="shared" si="3"/>
        <v>1006.4196705545169</v>
      </c>
    </row>
    <row r="41" spans="1:22" x14ac:dyDescent="0.25">
      <c r="A41" s="209" t="s">
        <v>43</v>
      </c>
      <c r="B41" s="209">
        <v>5017843.2699999996</v>
      </c>
      <c r="C41" s="209">
        <v>7952.2080348652926</v>
      </c>
      <c r="D41" s="209">
        <v>2150490.7100000004</v>
      </c>
      <c r="E41" s="209">
        <v>3408.0676862123619</v>
      </c>
      <c r="G41" s="209">
        <v>4714240.3000000007</v>
      </c>
      <c r="H41" s="209">
        <v>7471.0622820919189</v>
      </c>
      <c r="I41" s="209">
        <v>2313637.5000000005</v>
      </c>
      <c r="J41" s="209">
        <v>3666.6204437400957</v>
      </c>
      <c r="L41" s="209" t="s">
        <v>43</v>
      </c>
      <c r="M41" s="209">
        <v>4084166.64</v>
      </c>
      <c r="N41" s="209">
        <v>6452.08</v>
      </c>
      <c r="O41" s="209">
        <v>1260354.7200000002</v>
      </c>
      <c r="P41" s="209">
        <v>1991.0817061611378</v>
      </c>
      <c r="R41" s="209" t="s">
        <v>43</v>
      </c>
      <c r="S41" s="209">
        <f t="shared" si="0"/>
        <v>630073.66000000061</v>
      </c>
      <c r="T41" s="209">
        <f t="shared" si="1"/>
        <v>1018.9822820919189</v>
      </c>
      <c r="U41" s="209">
        <f t="shared" si="2"/>
        <v>1053282.7800000003</v>
      </c>
      <c r="V41" s="209">
        <f t="shared" si="3"/>
        <v>1675.5387375789578</v>
      </c>
    </row>
    <row r="42" spans="1:22" x14ac:dyDescent="0.25">
      <c r="A42" s="209" t="s">
        <v>36</v>
      </c>
      <c r="B42" s="209">
        <v>10146633.530000001</v>
      </c>
      <c r="C42" s="209">
        <v>7841.2932998454417</v>
      </c>
      <c r="D42" s="209">
        <v>-308776.70999999717</v>
      </c>
      <c r="E42" s="209">
        <v>-238.62187789798853</v>
      </c>
      <c r="G42" s="209">
        <v>10428533.609999999</v>
      </c>
      <c r="H42" s="209">
        <v>8179.2420470588231</v>
      </c>
      <c r="I42" s="209">
        <v>474934.74999999814</v>
      </c>
      <c r="J42" s="209">
        <v>372.49784313725343</v>
      </c>
      <c r="L42" s="209" t="s">
        <v>36</v>
      </c>
      <c r="M42" s="209">
        <v>11258543.550000001</v>
      </c>
      <c r="N42" s="209">
        <v>8768.3360981308415</v>
      </c>
      <c r="O42" s="209">
        <v>-309867.80999999866</v>
      </c>
      <c r="P42" s="209">
        <v>-241.3300700934569</v>
      </c>
      <c r="R42" s="209" t="s">
        <v>36</v>
      </c>
      <c r="S42" s="209">
        <f t="shared" si="0"/>
        <v>-830009.94000000134</v>
      </c>
      <c r="T42" s="209">
        <f t="shared" si="1"/>
        <v>-589.09405107201837</v>
      </c>
      <c r="U42" s="209">
        <f t="shared" si="2"/>
        <v>784802.5599999968</v>
      </c>
      <c r="V42" s="209">
        <f t="shared" si="3"/>
        <v>613.82791323071035</v>
      </c>
    </row>
    <row r="43" spans="1:22" x14ac:dyDescent="0.25">
      <c r="A43" s="209" t="s">
        <v>50</v>
      </c>
      <c r="B43" s="209">
        <v>5638389.4799999995</v>
      </c>
      <c r="C43" s="209">
        <v>7820.2350624133142</v>
      </c>
      <c r="D43" s="209">
        <v>3098658.07</v>
      </c>
      <c r="E43" s="209">
        <v>4297.722704576976</v>
      </c>
      <c r="G43" s="209">
        <v>5638389.4799999995</v>
      </c>
      <c r="H43" s="209">
        <v>7852.9101392757657</v>
      </c>
      <c r="I43" s="209">
        <v>3098658.07</v>
      </c>
      <c r="J43" s="209">
        <v>4315.6797632311973</v>
      </c>
      <c r="L43" s="209" t="s">
        <v>50</v>
      </c>
      <c r="M43" s="209">
        <v>5676255.4499999993</v>
      </c>
      <c r="N43" s="209">
        <v>7765.055335157318</v>
      </c>
      <c r="O43" s="209">
        <v>3086864.3399999994</v>
      </c>
      <c r="P43" s="209">
        <v>4222.796634746921</v>
      </c>
      <c r="R43" s="209" t="s">
        <v>50</v>
      </c>
      <c r="S43" s="209">
        <f t="shared" si="0"/>
        <v>-37865.969999999739</v>
      </c>
      <c r="T43" s="209">
        <f t="shared" si="1"/>
        <v>87.854804118447646</v>
      </c>
      <c r="U43" s="209">
        <f t="shared" si="2"/>
        <v>11793.730000000447</v>
      </c>
      <c r="V43" s="209">
        <f t="shared" si="3"/>
        <v>92.883128484276313</v>
      </c>
    </row>
    <row r="44" spans="1:22" x14ac:dyDescent="0.25">
      <c r="A44" s="209" t="s">
        <v>8</v>
      </c>
      <c r="B44" s="209">
        <v>9390739.8100000005</v>
      </c>
      <c r="C44" s="209">
        <v>8859.1885000000002</v>
      </c>
      <c r="D44" s="209">
        <v>5239680.2300000014</v>
      </c>
      <c r="E44" s="209">
        <v>4943.0945566037744</v>
      </c>
      <c r="G44" s="209">
        <v>9570422.3900000006</v>
      </c>
      <c r="H44" s="209">
        <v>9401.2007760314355</v>
      </c>
      <c r="I44" s="209">
        <v>5842659.1600000001</v>
      </c>
      <c r="J44" s="209">
        <v>5739.3508447937129</v>
      </c>
      <c r="L44" s="209" t="s">
        <v>8</v>
      </c>
      <c r="M44" s="209">
        <v>8931872.6600000001</v>
      </c>
      <c r="N44" s="209">
        <v>8791.2132480314958</v>
      </c>
      <c r="O44" s="209">
        <v>5096750.43</v>
      </c>
      <c r="P44" s="209">
        <v>5016.4866437007868</v>
      </c>
      <c r="R44" s="209" t="s">
        <v>8</v>
      </c>
      <c r="S44" s="209">
        <f t="shared" si="0"/>
        <v>638549.73000000045</v>
      </c>
      <c r="T44" s="209">
        <f t="shared" si="1"/>
        <v>609.98752799993963</v>
      </c>
      <c r="U44" s="209">
        <f t="shared" si="2"/>
        <v>745908.73000000045</v>
      </c>
      <c r="V44" s="209">
        <f t="shared" si="3"/>
        <v>722.86420109292612</v>
      </c>
    </row>
    <row r="45" spans="1:22" x14ac:dyDescent="0.25">
      <c r="A45" s="209" t="s">
        <v>23</v>
      </c>
      <c r="B45" s="209">
        <v>1628614.66</v>
      </c>
      <c r="C45" s="209">
        <v>5186.6708917197448</v>
      </c>
      <c r="D45" s="209">
        <v>-1100260.1800000002</v>
      </c>
      <c r="E45" s="209">
        <v>-3504.0133121019112</v>
      </c>
      <c r="G45" s="209">
        <v>1892477.35</v>
      </c>
      <c r="H45" s="209">
        <v>6458.9670648464171</v>
      </c>
      <c r="I45" s="209">
        <v>-735043.07000000007</v>
      </c>
      <c r="J45" s="209">
        <v>-2508.6794197952222</v>
      </c>
      <c r="L45" s="209" t="s">
        <v>23</v>
      </c>
      <c r="M45" s="209">
        <v>1867774.15</v>
      </c>
      <c r="N45" s="209">
        <v>6143.9939144736836</v>
      </c>
      <c r="O45" s="209">
        <v>-1089984.3500000006</v>
      </c>
      <c r="P45" s="209">
        <v>-3585.4748355263177</v>
      </c>
      <c r="R45" s="209" t="s">
        <v>23</v>
      </c>
      <c r="S45" s="209">
        <f t="shared" si="0"/>
        <v>24703.200000000186</v>
      </c>
      <c r="T45" s="209">
        <f t="shared" si="1"/>
        <v>314.97315037273347</v>
      </c>
      <c r="U45" s="209">
        <f t="shared" si="2"/>
        <v>354941.28000000049</v>
      </c>
      <c r="V45" s="209">
        <f t="shared" si="3"/>
        <v>1076.7954157310955</v>
      </c>
    </row>
    <row r="46" spans="1:22" x14ac:dyDescent="0.25">
      <c r="A46" s="209" t="s">
        <v>9</v>
      </c>
      <c r="B46" s="209">
        <v>15124197.27</v>
      </c>
      <c r="C46" s="209">
        <v>6165.5920383204239</v>
      </c>
      <c r="D46" s="209">
        <v>10479919.150000002</v>
      </c>
      <c r="E46" s="209">
        <v>4272.2866490012239</v>
      </c>
      <c r="G46" s="209">
        <v>13471968.370000001</v>
      </c>
      <c r="H46" s="209">
        <v>5532.6358809034909</v>
      </c>
      <c r="I46" s="209">
        <v>8692321.1499999985</v>
      </c>
      <c r="J46" s="209">
        <v>3569.7417453798762</v>
      </c>
      <c r="L46" s="209" t="s">
        <v>9</v>
      </c>
      <c r="M46" s="209">
        <v>13098682.91</v>
      </c>
      <c r="N46" s="209">
        <v>5430.631388888889</v>
      </c>
      <c r="O46" s="209">
        <v>7718740.75</v>
      </c>
      <c r="P46" s="209">
        <v>3200.1412728026535</v>
      </c>
      <c r="R46" s="209" t="s">
        <v>9</v>
      </c>
      <c r="S46" s="209">
        <f t="shared" si="0"/>
        <v>373285.46000000089</v>
      </c>
      <c r="T46" s="209">
        <f t="shared" si="1"/>
        <v>102.00449201460196</v>
      </c>
      <c r="U46" s="209">
        <f t="shared" si="2"/>
        <v>973580.39999999851</v>
      </c>
      <c r="V46" s="209">
        <f t="shared" si="3"/>
        <v>369.60047257722272</v>
      </c>
    </row>
    <row r="47" spans="1:22" x14ac:dyDescent="0.25">
      <c r="A47" s="209" t="s">
        <v>61</v>
      </c>
      <c r="B47" s="209">
        <v>5728689.8200000003</v>
      </c>
      <c r="C47" s="209">
        <v>7401.4080361757105</v>
      </c>
      <c r="D47" s="209">
        <v>2783262.1399999987</v>
      </c>
      <c r="E47" s="209">
        <v>3595.9459173126597</v>
      </c>
      <c r="G47" s="209">
        <v>6026726</v>
      </c>
      <c r="H47" s="209">
        <v>7667.5903307888038</v>
      </c>
      <c r="I47" s="209">
        <v>2759687.709999999</v>
      </c>
      <c r="J47" s="209">
        <v>3511.0530661577595</v>
      </c>
      <c r="L47" s="209" t="s">
        <v>61</v>
      </c>
      <c r="M47" s="209">
        <v>5987581.8100000005</v>
      </c>
      <c r="N47" s="209">
        <v>8146.3698095238105</v>
      </c>
      <c r="O47" s="209">
        <v>2805265.74</v>
      </c>
      <c r="P47" s="209">
        <v>3816.6880816326534</v>
      </c>
      <c r="R47" s="209" t="s">
        <v>61</v>
      </c>
      <c r="S47" s="209">
        <f t="shared" si="0"/>
        <v>39144.189999999478</v>
      </c>
      <c r="T47" s="209">
        <f t="shared" si="1"/>
        <v>-478.77947873500671</v>
      </c>
      <c r="U47" s="209">
        <f t="shared" si="2"/>
        <v>-45578.030000001192</v>
      </c>
      <c r="V47" s="209">
        <f t="shared" si="3"/>
        <v>-305.63501547489386</v>
      </c>
    </row>
    <row r="48" spans="1:22" x14ac:dyDescent="0.25">
      <c r="A48" s="209" t="s">
        <v>45</v>
      </c>
      <c r="B48" s="209">
        <v>0</v>
      </c>
      <c r="C48" s="209">
        <v>0</v>
      </c>
      <c r="D48" s="209">
        <v>0</v>
      </c>
      <c r="E48" s="209">
        <v>0</v>
      </c>
      <c r="G48" s="209">
        <v>649792.4</v>
      </c>
      <c r="H48" s="209">
        <v>3531.4804347826089</v>
      </c>
      <c r="I48" s="209">
        <v>208004.44000000006</v>
      </c>
      <c r="J48" s="209">
        <v>1130.4589130434786</v>
      </c>
      <c r="L48" s="209" t="s">
        <v>45</v>
      </c>
      <c r="M48" s="209">
        <v>704845.53</v>
      </c>
      <c r="N48" s="209">
        <v>3809.9758378378378</v>
      </c>
      <c r="O48" s="209">
        <v>189759.61</v>
      </c>
      <c r="P48" s="209">
        <v>1025.7276216216214</v>
      </c>
      <c r="R48" s="209" t="s">
        <v>45</v>
      </c>
      <c r="S48" s="209">
        <f t="shared" si="0"/>
        <v>-55053.130000000005</v>
      </c>
      <c r="T48" s="209">
        <f t="shared" si="1"/>
        <v>-278.49540305522896</v>
      </c>
      <c r="U48" s="209">
        <f t="shared" si="2"/>
        <v>18244.830000000075</v>
      </c>
      <c r="V48" s="209">
        <f t="shared" si="3"/>
        <v>104.73129142185712</v>
      </c>
    </row>
    <row r="49" spans="1:22" x14ac:dyDescent="0.25">
      <c r="A49" s="209" t="s">
        <v>850</v>
      </c>
      <c r="B49" s="209">
        <v>772969.42999999993</v>
      </c>
      <c r="C49" s="209">
        <v>2129.3923691460054</v>
      </c>
      <c r="D49" s="209">
        <v>-699037.84</v>
      </c>
      <c r="E49" s="209">
        <v>-1925.7240771349861</v>
      </c>
      <c r="G49" s="209">
        <v>0</v>
      </c>
      <c r="H49" s="209">
        <v>0</v>
      </c>
      <c r="I49" s="209">
        <v>0</v>
      </c>
      <c r="J49" s="209">
        <v>0</v>
      </c>
      <c r="L49" s="209"/>
      <c r="M49" s="209">
        <v>0</v>
      </c>
      <c r="N49" s="209">
        <v>0</v>
      </c>
      <c r="O49" s="209">
        <v>0</v>
      </c>
      <c r="P49" s="209">
        <v>0</v>
      </c>
      <c r="R49" s="209"/>
      <c r="S49" s="209">
        <f t="shared" si="0"/>
        <v>0</v>
      </c>
      <c r="T49" s="209">
        <f t="shared" si="1"/>
        <v>0</v>
      </c>
      <c r="U49" s="209">
        <f t="shared" si="2"/>
        <v>0</v>
      </c>
      <c r="V49" s="209">
        <f t="shared" si="3"/>
        <v>0</v>
      </c>
    </row>
    <row r="50" spans="1:22" x14ac:dyDescent="0.25">
      <c r="A50" s="209" t="s">
        <v>34</v>
      </c>
      <c r="B50" s="209">
        <v>1947668.93</v>
      </c>
      <c r="C50" s="209">
        <v>5866.4726807228917</v>
      </c>
      <c r="D50" s="209">
        <v>-245412.23000000045</v>
      </c>
      <c r="E50" s="209">
        <v>-739.19346385542303</v>
      </c>
      <c r="G50" s="209">
        <v>2023842.33</v>
      </c>
      <c r="H50" s="209">
        <v>6077.6045945945953</v>
      </c>
      <c r="I50" s="209">
        <v>-156279.87000000011</v>
      </c>
      <c r="J50" s="209">
        <v>-469.30891891891923</v>
      </c>
      <c r="L50" s="209" t="s">
        <v>34</v>
      </c>
      <c r="M50" s="209">
        <v>2002898.05</v>
      </c>
      <c r="N50" s="209">
        <v>5890.876617647059</v>
      </c>
      <c r="O50" s="209">
        <v>-637335.59000000032</v>
      </c>
      <c r="P50" s="209">
        <v>-1874.5164411764715</v>
      </c>
      <c r="R50" s="209" t="s">
        <v>34</v>
      </c>
      <c r="S50" s="209">
        <f t="shared" si="0"/>
        <v>20944.280000000028</v>
      </c>
      <c r="T50" s="209">
        <f t="shared" si="1"/>
        <v>186.72797694753626</v>
      </c>
      <c r="U50" s="209">
        <f t="shared" si="2"/>
        <v>481055.7200000002</v>
      </c>
      <c r="V50" s="209">
        <f t="shared" si="3"/>
        <v>1405.2075222575522</v>
      </c>
    </row>
    <row r="51" spans="1:22" x14ac:dyDescent="0.25">
      <c r="A51" s="209" t="s">
        <v>48</v>
      </c>
      <c r="B51" s="209">
        <v>19230755.620000001</v>
      </c>
      <c r="C51" s="209">
        <v>11676.232920461445</v>
      </c>
      <c r="D51" s="209">
        <v>14921720.279999997</v>
      </c>
      <c r="E51" s="209">
        <v>9059.9394535519114</v>
      </c>
      <c r="G51" s="209">
        <v>19520581.41</v>
      </c>
      <c r="H51" s="209">
        <v>11661.040268817205</v>
      </c>
      <c r="I51" s="209">
        <v>15130371.179999998</v>
      </c>
      <c r="J51" s="209">
        <v>9038.4535125448019</v>
      </c>
      <c r="L51" s="209" t="s">
        <v>48</v>
      </c>
      <c r="M51" s="209">
        <v>19789094.379999999</v>
      </c>
      <c r="N51" s="209">
        <v>11661.222380671774</v>
      </c>
      <c r="O51" s="209">
        <v>15312974.43</v>
      </c>
      <c r="P51" s="209">
        <v>9023.5559398939295</v>
      </c>
      <c r="R51" s="209" t="s">
        <v>48</v>
      </c>
      <c r="S51" s="209">
        <f t="shared" si="0"/>
        <v>-268512.96999999881</v>
      </c>
      <c r="T51" s="209">
        <f t="shared" si="1"/>
        <v>-0.18211185456857493</v>
      </c>
      <c r="U51" s="209">
        <f t="shared" si="2"/>
        <v>-182603.25000000186</v>
      </c>
      <c r="V51" s="209">
        <f t="shared" si="3"/>
        <v>14.897572650872462</v>
      </c>
    </row>
    <row r="52" spans="1:22" x14ac:dyDescent="0.25">
      <c r="A52" s="209" t="s">
        <v>46</v>
      </c>
      <c r="B52" s="209">
        <v>3159146.96</v>
      </c>
      <c r="C52" s="209">
        <v>8291.7243044619427</v>
      </c>
      <c r="D52" s="209">
        <v>216705.85999999987</v>
      </c>
      <c r="E52" s="209">
        <v>568.78178477690255</v>
      </c>
      <c r="G52" s="209">
        <v>3023471.06</v>
      </c>
      <c r="H52" s="209">
        <v>7732.662557544757</v>
      </c>
      <c r="I52" s="209">
        <v>51593.350000000093</v>
      </c>
      <c r="J52" s="209">
        <v>131.95230179028158</v>
      </c>
      <c r="L52" s="209" t="s">
        <v>46</v>
      </c>
      <c r="M52" s="209">
        <v>2070284.17</v>
      </c>
      <c r="N52" s="209">
        <v>5308.4209487179487</v>
      </c>
      <c r="O52" s="209">
        <v>-884214.48000000021</v>
      </c>
      <c r="P52" s="209">
        <v>-2267.216615384616</v>
      </c>
      <c r="R52" s="209" t="s">
        <v>46</v>
      </c>
      <c r="S52" s="209">
        <f t="shared" si="0"/>
        <v>953186.89000000013</v>
      </c>
      <c r="T52" s="209">
        <f t="shared" si="1"/>
        <v>2424.2416088268083</v>
      </c>
      <c r="U52" s="209">
        <f t="shared" si="2"/>
        <v>935807.83000000031</v>
      </c>
      <c r="V52" s="209">
        <f t="shared" si="3"/>
        <v>2399.1689171748976</v>
      </c>
    </row>
    <row r="53" spans="1:22" x14ac:dyDescent="0.25">
      <c r="A53" s="209" t="s">
        <v>57</v>
      </c>
      <c r="B53" s="209">
        <v>10495924.960000001</v>
      </c>
      <c r="C53" s="209">
        <v>9929.9195458845807</v>
      </c>
      <c r="D53" s="209">
        <v>5601501.8699999992</v>
      </c>
      <c r="E53" s="209">
        <v>5299.43412488174</v>
      </c>
      <c r="G53" s="209">
        <v>10935065.559999999</v>
      </c>
      <c r="H53" s="209">
        <v>10394.549011406843</v>
      </c>
      <c r="I53" s="209">
        <v>5751414.4799999986</v>
      </c>
      <c r="J53" s="209">
        <v>5467.1240304182493</v>
      </c>
      <c r="L53" s="209" t="s">
        <v>57</v>
      </c>
      <c r="M53" s="209">
        <v>10358562.43</v>
      </c>
      <c r="N53" s="209">
        <v>9653.8326467847146</v>
      </c>
      <c r="O53" s="209">
        <v>5827342.290000001</v>
      </c>
      <c r="P53" s="209">
        <v>5430.887502329917</v>
      </c>
      <c r="R53" s="209" t="s">
        <v>57</v>
      </c>
      <c r="S53" s="209">
        <f t="shared" si="0"/>
        <v>576503.12999999896</v>
      </c>
      <c r="T53" s="209">
        <f t="shared" si="1"/>
        <v>740.71636462212882</v>
      </c>
      <c r="U53" s="209">
        <f t="shared" si="2"/>
        <v>-75927.810000002384</v>
      </c>
      <c r="V53" s="209">
        <f t="shared" si="3"/>
        <v>36.236528088332307</v>
      </c>
    </row>
    <row r="54" spans="1:22" x14ac:dyDescent="0.25">
      <c r="A54" s="209" t="s">
        <v>49</v>
      </c>
      <c r="B54" s="209">
        <v>0</v>
      </c>
      <c r="C54" s="209">
        <v>0</v>
      </c>
      <c r="D54" s="209">
        <v>0</v>
      </c>
      <c r="E54" s="209">
        <v>0</v>
      </c>
      <c r="G54" s="209">
        <v>142500</v>
      </c>
      <c r="H54" s="209">
        <v>766.12903225806451</v>
      </c>
      <c r="I54" s="209">
        <v>-341679.31000000011</v>
      </c>
      <c r="J54" s="209">
        <v>-1836.9855376344092</v>
      </c>
      <c r="L54" s="209" t="s">
        <v>49</v>
      </c>
      <c r="M54" s="209">
        <v>219892.5</v>
      </c>
      <c r="N54" s="209">
        <v>1195.0679347826087</v>
      </c>
      <c r="O54" s="209">
        <v>-576498.74</v>
      </c>
      <c r="P54" s="209">
        <v>-3133.1453260869566</v>
      </c>
      <c r="R54" s="209" t="s">
        <v>49</v>
      </c>
      <c r="S54" s="209">
        <f t="shared" si="0"/>
        <v>-77392.5</v>
      </c>
      <c r="T54" s="209">
        <f t="shared" si="1"/>
        <v>-428.93890252454423</v>
      </c>
      <c r="U54" s="209">
        <f t="shared" si="2"/>
        <v>234819.42999999988</v>
      </c>
      <c r="V54" s="209">
        <f t="shared" si="3"/>
        <v>1296.1597884525474</v>
      </c>
    </row>
    <row r="55" spans="1:22" x14ac:dyDescent="0.25">
      <c r="A55" s="209" t="s">
        <v>15</v>
      </c>
      <c r="B55" s="209">
        <v>71272475.480000004</v>
      </c>
      <c r="C55" s="209">
        <v>10797.223978185124</v>
      </c>
      <c r="D55" s="209">
        <v>45923400.93</v>
      </c>
      <c r="E55" s="209">
        <v>6957.0369534918955</v>
      </c>
      <c r="G55" s="209">
        <v>69546558.280000001</v>
      </c>
      <c r="H55" s="209">
        <v>10797.478385343891</v>
      </c>
      <c r="I55" s="209">
        <v>45122415.250000007</v>
      </c>
      <c r="J55" s="209">
        <v>7005.4984086322011</v>
      </c>
      <c r="L55" s="209" t="s">
        <v>15</v>
      </c>
      <c r="M55" s="209">
        <v>66904253.960000001</v>
      </c>
      <c r="N55" s="209">
        <v>10347.08536343953</v>
      </c>
      <c r="O55" s="209">
        <v>42123403.110000007</v>
      </c>
      <c r="P55" s="209">
        <v>6514.5999242189928</v>
      </c>
      <c r="R55" s="209" t="s">
        <v>15</v>
      </c>
      <c r="S55" s="209">
        <f t="shared" si="0"/>
        <v>2642304.3200000003</v>
      </c>
      <c r="T55" s="209">
        <f t="shared" si="1"/>
        <v>450.39302190436138</v>
      </c>
      <c r="U55" s="209">
        <f t="shared" si="2"/>
        <v>2999012.1400000006</v>
      </c>
      <c r="V55" s="209">
        <f t="shared" si="3"/>
        <v>490.89848441320828</v>
      </c>
    </row>
    <row r="56" spans="1:22" x14ac:dyDescent="0.25">
      <c r="A56" s="209" t="s">
        <v>24</v>
      </c>
      <c r="B56" s="209">
        <v>4530485.67</v>
      </c>
      <c r="C56" s="209">
        <v>8282.4235283363796</v>
      </c>
      <c r="D56" s="209">
        <v>2083214.2999999998</v>
      </c>
      <c r="E56" s="209">
        <v>3808.4356489945153</v>
      </c>
      <c r="G56" s="209">
        <v>3987825.17</v>
      </c>
      <c r="H56" s="209">
        <v>7303.7091025641021</v>
      </c>
      <c r="I56" s="209">
        <v>1841514.0200000005</v>
      </c>
      <c r="J56" s="209">
        <v>3372.7363003663013</v>
      </c>
      <c r="L56" s="209" t="s">
        <v>24</v>
      </c>
      <c r="M56" s="209">
        <v>4041025.6399999997</v>
      </c>
      <c r="N56" s="209">
        <v>7229.0261896243283</v>
      </c>
      <c r="O56" s="209">
        <v>1980846.71</v>
      </c>
      <c r="P56" s="209">
        <v>3543.5540429338103</v>
      </c>
      <c r="R56" s="209" t="s">
        <v>24</v>
      </c>
      <c r="S56" s="209">
        <f t="shared" si="0"/>
        <v>-53200.469999999739</v>
      </c>
      <c r="T56" s="209">
        <f t="shared" si="1"/>
        <v>74.682912939773814</v>
      </c>
      <c r="U56" s="209">
        <f t="shared" si="2"/>
        <v>-139332.68999999948</v>
      </c>
      <c r="V56" s="209">
        <f t="shared" si="3"/>
        <v>-170.81774256750896</v>
      </c>
    </row>
    <row r="57" spans="1:22" x14ac:dyDescent="0.25">
      <c r="B57" s="209"/>
      <c r="C57" s="209"/>
      <c r="D57" s="209"/>
      <c r="E57" s="209"/>
    </row>
    <row r="58" spans="1:22" x14ac:dyDescent="0.25">
      <c r="B58" s="209"/>
      <c r="C58" s="209"/>
      <c r="D58" s="209"/>
      <c r="E58" s="209"/>
      <c r="R58" s="209" t="s">
        <v>839</v>
      </c>
      <c r="S58" s="209">
        <f>S7+S10+S11+S13+S16+S17+S18+S19+S25+S26+S27+S28+S29+S37+S40+S41+S44+S45+S46+S47+S50+S52+S53+S55</f>
        <v>36668095.229999982</v>
      </c>
      <c r="T58" s="209">
        <f>T7+T10+T11+T13+T16+T19+T25+T26+T27+T28+T29+T37+T40+T41+T43+T44+T45+T46+T50+T52+T53+T55+T56</f>
        <v>17589.656901128845</v>
      </c>
      <c r="U58" s="209">
        <f>U4+U7+U8+U10+U11+U12+U13+U14+U19+U21+U22+U25+U26+U27+U28+U29+U30+U37+U40+U41+U42+U43+U44+U45+U46+U48+U50+U52+U54+U55</f>
        <v>25194031.869999994</v>
      </c>
      <c r="V58" s="209">
        <f>V4+V7+V8+V10+V11+V12+V13+V14+V19+V20+V21+V22+V25+V26+V27+V28+V29+V30+V37+V40+V41+V42+V43+V44+V45+V46+V48+V50+V51+V52+V53+V54+V55</f>
        <v>21372.487087237459</v>
      </c>
    </row>
    <row r="59" spans="1:22" x14ac:dyDescent="0.25">
      <c r="A59" s="209" t="s">
        <v>888</v>
      </c>
      <c r="C59" s="209"/>
      <c r="D59" s="209"/>
      <c r="E59" s="209"/>
      <c r="R59" s="209" t="s">
        <v>840</v>
      </c>
      <c r="S59" s="209">
        <f>S3+S4+S5+S6+S8+S9+S12+S14+S15+S20+S21+S22+S23+S24+S30+S31+S32+S33+S34+S35+S36+S38+S39+S42+S43+S48+S51+S54+S56</f>
        <v>-12715920.810000002</v>
      </c>
      <c r="T59" s="209">
        <f>T3+T4+T5+T6+T8+T9++T12+T14+T15+T17+T18+T20+T21+T22+T23+T24+T30+T31+T32+T33+T34+T35+T36+T38+T39+T42+T47+T48+T51+T54</f>
        <v>-13959.666257758387</v>
      </c>
      <c r="U59" s="209">
        <f>U3+U5+U6+U9+U15+U16+U17+U18+U20+U23+U24+U31+U32+U33+U34+U35+U36+U38+U39+U47+U51+U53+U56</f>
        <v>-11967920.160000013</v>
      </c>
      <c r="V59" s="209">
        <f>V3+V5+V6+V9+V15+V16+V17+V18+V23+V24+V31+V32+V33+V34+V35+V36+V38+V39+V47+V56</f>
        <v>-12005.68343338231</v>
      </c>
    </row>
    <row r="60" spans="1:22" x14ac:dyDescent="0.25">
      <c r="B60">
        <v>20223</v>
      </c>
      <c r="C60">
        <v>2022</v>
      </c>
      <c r="H60" s="209"/>
    </row>
    <row r="61" spans="1:22" x14ac:dyDescent="0.25">
      <c r="A61" s="217" t="s">
        <v>66</v>
      </c>
      <c r="B61" s="217" t="s">
        <v>769</v>
      </c>
      <c r="C61" s="217" t="s">
        <v>769</v>
      </c>
    </row>
    <row r="62" spans="1:22" x14ac:dyDescent="0.25">
      <c r="A62" s="209" t="s">
        <v>55</v>
      </c>
      <c r="B62" s="209">
        <v>11146300.15</v>
      </c>
      <c r="C62" s="209">
        <v>10231693.5</v>
      </c>
      <c r="D62" s="209">
        <f>B62-C62</f>
        <v>914606.65000000037</v>
      </c>
    </row>
    <row r="63" spans="1:22" x14ac:dyDescent="0.25">
      <c r="A63" s="209" t="s">
        <v>17</v>
      </c>
      <c r="B63" s="209">
        <v>2269482.25</v>
      </c>
      <c r="C63" s="209">
        <v>2396649.5500000003</v>
      </c>
      <c r="D63" s="209">
        <f t="shared" ref="D63:D115" si="4">B63-C63</f>
        <v>-127167.30000000028</v>
      </c>
    </row>
    <row r="64" spans="1:22" x14ac:dyDescent="0.25">
      <c r="A64" s="209" t="s">
        <v>56</v>
      </c>
      <c r="B64" s="209">
        <v>5113397.1500000004</v>
      </c>
      <c r="C64" s="209">
        <v>5213780.8499999996</v>
      </c>
      <c r="D64" s="209">
        <f t="shared" si="4"/>
        <v>-100383.69999999925</v>
      </c>
    </row>
    <row r="65" spans="1:4" x14ac:dyDescent="0.25">
      <c r="A65" s="209" t="s">
        <v>52</v>
      </c>
      <c r="B65" s="209">
        <v>4102182.16</v>
      </c>
      <c r="C65" s="209">
        <v>4171946.5700000003</v>
      </c>
      <c r="D65" s="209">
        <f t="shared" si="4"/>
        <v>-69764.410000000149</v>
      </c>
    </row>
    <row r="66" spans="1:4" x14ac:dyDescent="0.25">
      <c r="A66" s="209" t="s">
        <v>32</v>
      </c>
      <c r="B66" s="209">
        <v>30134936.359999999</v>
      </c>
      <c r="C66" s="209">
        <v>26026875.600000001</v>
      </c>
      <c r="D66" s="209">
        <f t="shared" si="4"/>
        <v>4108060.7599999979</v>
      </c>
    </row>
    <row r="67" spans="1:4" x14ac:dyDescent="0.25">
      <c r="A67" s="209" t="s">
        <v>10</v>
      </c>
      <c r="B67" s="209">
        <v>22968901.039999999</v>
      </c>
      <c r="C67" s="209">
        <v>23189435.620000001</v>
      </c>
      <c r="D67" s="209">
        <f t="shared" si="4"/>
        <v>-220534.58000000194</v>
      </c>
    </row>
    <row r="68" spans="1:4" x14ac:dyDescent="0.25">
      <c r="A68" s="209" t="s">
        <v>14</v>
      </c>
      <c r="B68" s="209">
        <v>9978141.2599999998</v>
      </c>
      <c r="C68" s="209">
        <v>10340912.189999999</v>
      </c>
      <c r="D68" s="209">
        <f t="shared" si="4"/>
        <v>-362770.9299999997</v>
      </c>
    </row>
    <row r="69" spans="1:4" x14ac:dyDescent="0.25">
      <c r="A69" s="209" t="s">
        <v>27</v>
      </c>
      <c r="B69" s="209">
        <v>171926276.57999998</v>
      </c>
      <c r="C69" s="209">
        <v>166457137.63999999</v>
      </c>
      <c r="D69" s="209">
        <f t="shared" si="4"/>
        <v>5469138.9399999976</v>
      </c>
    </row>
    <row r="70" spans="1:4" x14ac:dyDescent="0.25">
      <c r="A70" s="209" t="s">
        <v>41</v>
      </c>
      <c r="B70" s="209">
        <v>7728877.5700000003</v>
      </c>
      <c r="C70" s="209">
        <v>7684406.9900000002</v>
      </c>
      <c r="D70" s="209">
        <f t="shared" si="4"/>
        <v>44470.580000000075</v>
      </c>
    </row>
    <row r="71" spans="1:4" x14ac:dyDescent="0.25">
      <c r="A71" s="209" t="s">
        <v>22</v>
      </c>
      <c r="B71" s="209">
        <v>714480.9</v>
      </c>
      <c r="C71" s="209">
        <v>752392.9</v>
      </c>
      <c r="D71" s="209">
        <f t="shared" si="4"/>
        <v>-37912</v>
      </c>
    </row>
    <row r="72" spans="1:4" x14ac:dyDescent="0.25">
      <c r="A72" s="209" t="s">
        <v>21</v>
      </c>
      <c r="B72" s="209">
        <v>46501562.57</v>
      </c>
      <c r="C72" s="209">
        <v>45615798.689999998</v>
      </c>
      <c r="D72" s="209">
        <f t="shared" si="4"/>
        <v>885763.88000000268</v>
      </c>
    </row>
    <row r="73" spans="1:4" x14ac:dyDescent="0.25">
      <c r="A73" s="209" t="s">
        <v>12</v>
      </c>
      <c r="B73" s="209">
        <v>2637865.54</v>
      </c>
      <c r="C73" s="209">
        <v>2811349.0100000002</v>
      </c>
      <c r="D73" s="209">
        <f t="shared" si="4"/>
        <v>-173483.4700000002</v>
      </c>
    </row>
    <row r="74" spans="1:4" x14ac:dyDescent="0.25">
      <c r="A74" s="209" t="s">
        <v>16</v>
      </c>
      <c r="B74" s="209">
        <v>471574.19</v>
      </c>
      <c r="C74" s="209">
        <v>472998.96</v>
      </c>
      <c r="D74" s="209">
        <f t="shared" si="4"/>
        <v>-1424.7700000000186</v>
      </c>
    </row>
    <row r="75" spans="1:4" x14ac:dyDescent="0.25">
      <c r="A75" s="209" t="s">
        <v>42</v>
      </c>
      <c r="B75" s="209">
        <v>3469622.55</v>
      </c>
      <c r="C75" s="209">
        <v>3177943.3000000003</v>
      </c>
      <c r="D75" s="209">
        <f t="shared" si="4"/>
        <v>291679.24999999953</v>
      </c>
    </row>
    <row r="76" spans="1:4" x14ac:dyDescent="0.25">
      <c r="A76" s="209" t="s">
        <v>39</v>
      </c>
      <c r="B76" s="209">
        <v>3813815.98</v>
      </c>
      <c r="C76" s="209">
        <v>4143084.9</v>
      </c>
      <c r="D76" s="209">
        <f t="shared" si="4"/>
        <v>-329268.91999999993</v>
      </c>
    </row>
    <row r="77" spans="1:4" x14ac:dyDescent="0.25">
      <c r="A77" s="209" t="s">
        <v>30</v>
      </c>
      <c r="B77" s="209">
        <v>4826208.0999999996</v>
      </c>
      <c r="C77" s="209">
        <v>5163639.42</v>
      </c>
      <c r="D77" s="209">
        <f t="shared" si="4"/>
        <v>-337431.3200000003</v>
      </c>
    </row>
    <row r="78" spans="1:4" x14ac:dyDescent="0.25">
      <c r="A78" s="209" t="s">
        <v>11</v>
      </c>
      <c r="B78" s="209">
        <v>1265824</v>
      </c>
      <c r="C78" s="209">
        <v>1238569.5</v>
      </c>
      <c r="D78" s="209">
        <f t="shared" si="4"/>
        <v>27254.5</v>
      </c>
    </row>
    <row r="79" spans="1:4" x14ac:dyDescent="0.25">
      <c r="A79" s="209" t="s">
        <v>58</v>
      </c>
      <c r="B79" s="209">
        <v>3294471.8600000003</v>
      </c>
      <c r="C79" s="209">
        <v>3504832.67</v>
      </c>
      <c r="D79" s="209">
        <f t="shared" si="4"/>
        <v>-210360.80999999959</v>
      </c>
    </row>
    <row r="80" spans="1:4" x14ac:dyDescent="0.25">
      <c r="A80" s="209" t="s">
        <v>26</v>
      </c>
      <c r="B80" s="209">
        <v>15597037.949999999</v>
      </c>
      <c r="C80" s="209">
        <v>15800389.75</v>
      </c>
      <c r="D80" s="209">
        <f t="shared" si="4"/>
        <v>-203351.80000000075</v>
      </c>
    </row>
    <row r="81" spans="1:4" x14ac:dyDescent="0.25">
      <c r="A81" s="209" t="s">
        <v>29</v>
      </c>
      <c r="B81" s="209">
        <v>454326.2</v>
      </c>
      <c r="C81" s="209">
        <v>484046.2</v>
      </c>
      <c r="D81" s="209">
        <f t="shared" si="4"/>
        <v>-29720</v>
      </c>
    </row>
    <row r="82" spans="1:4" x14ac:dyDescent="0.25">
      <c r="A82" s="209" t="s">
        <v>19</v>
      </c>
      <c r="B82" s="209">
        <v>8070627.1899999995</v>
      </c>
      <c r="C82" s="209">
        <v>9591959.379999999</v>
      </c>
      <c r="D82" s="209">
        <f t="shared" si="4"/>
        <v>-1521332.1899999995</v>
      </c>
    </row>
    <row r="83" spans="1:4" x14ac:dyDescent="0.25">
      <c r="A83" s="209" t="s">
        <v>44</v>
      </c>
      <c r="B83" s="209">
        <v>3570934.01</v>
      </c>
      <c r="C83" s="209">
        <v>4910683.17</v>
      </c>
      <c r="D83" s="209">
        <f t="shared" si="4"/>
        <v>-1339749.1600000001</v>
      </c>
    </row>
    <row r="84" spans="1:4" x14ac:dyDescent="0.25">
      <c r="A84" s="209" t="s">
        <v>70</v>
      </c>
      <c r="B84" s="209">
        <v>0</v>
      </c>
      <c r="C84" s="209">
        <v>1134572.45</v>
      </c>
      <c r="D84" s="209">
        <f t="shared" si="4"/>
        <v>-1134572.45</v>
      </c>
    </row>
    <row r="85" spans="1:4" x14ac:dyDescent="0.25">
      <c r="A85" s="209" t="s">
        <v>38</v>
      </c>
      <c r="B85" s="209">
        <v>1221246.05</v>
      </c>
      <c r="C85" s="209">
        <v>1304927.81</v>
      </c>
      <c r="D85" s="209">
        <f t="shared" si="4"/>
        <v>-83681.760000000009</v>
      </c>
    </row>
    <row r="86" spans="1:4" x14ac:dyDescent="0.25">
      <c r="A86" s="209" t="s">
        <v>18</v>
      </c>
      <c r="B86" s="209">
        <v>4313052.78</v>
      </c>
      <c r="C86" s="209">
        <v>4608813.3499999996</v>
      </c>
      <c r="D86" s="209">
        <f t="shared" si="4"/>
        <v>-295760.56999999937</v>
      </c>
    </row>
    <row r="87" spans="1:4" x14ac:dyDescent="0.25">
      <c r="A87" s="209" t="s">
        <v>40</v>
      </c>
      <c r="B87" s="209">
        <v>6837332.4500000002</v>
      </c>
      <c r="C87" s="209">
        <v>7610270.8499999996</v>
      </c>
      <c r="D87" s="209">
        <f t="shared" si="4"/>
        <v>-772938.39999999944</v>
      </c>
    </row>
    <row r="88" spans="1:4" x14ac:dyDescent="0.25">
      <c r="A88" s="209" t="s">
        <v>35</v>
      </c>
      <c r="B88" s="209">
        <v>3801987.73</v>
      </c>
      <c r="C88" s="209">
        <v>3903441.63</v>
      </c>
      <c r="D88" s="209">
        <f t="shared" si="4"/>
        <v>-101453.89999999991</v>
      </c>
    </row>
    <row r="89" spans="1:4" x14ac:dyDescent="0.25">
      <c r="A89" s="209" t="s">
        <v>7</v>
      </c>
      <c r="B89" s="209">
        <v>382520.72</v>
      </c>
      <c r="C89" s="209">
        <v>972078.66999999993</v>
      </c>
      <c r="D89" s="209">
        <f t="shared" si="4"/>
        <v>-589557.94999999995</v>
      </c>
    </row>
    <row r="90" spans="1:4" x14ac:dyDescent="0.25">
      <c r="A90" s="209" t="s">
        <v>54</v>
      </c>
      <c r="B90" s="209">
        <v>5158320.07</v>
      </c>
      <c r="C90" s="209">
        <v>5453381.3700000001</v>
      </c>
      <c r="D90" s="209">
        <f t="shared" si="4"/>
        <v>-295061.29999999981</v>
      </c>
    </row>
    <row r="91" spans="1:4" x14ac:dyDescent="0.25">
      <c r="A91" s="209" t="s">
        <v>20</v>
      </c>
      <c r="B91" s="209">
        <v>15539252.220000001</v>
      </c>
      <c r="C91" s="209">
        <v>16154715.800000001</v>
      </c>
      <c r="D91" s="209">
        <f t="shared" si="4"/>
        <v>-615463.58000000007</v>
      </c>
    </row>
    <row r="92" spans="1:4" x14ac:dyDescent="0.25">
      <c r="A92" s="209" t="s">
        <v>6</v>
      </c>
      <c r="B92" s="209">
        <v>1622719.02</v>
      </c>
      <c r="C92" s="209">
        <v>1609645.3</v>
      </c>
      <c r="D92" s="209">
        <f t="shared" si="4"/>
        <v>13073.719999999972</v>
      </c>
    </row>
    <row r="93" spans="1:4" x14ac:dyDescent="0.25">
      <c r="A93" s="209" t="s">
        <v>33</v>
      </c>
      <c r="B93" s="209">
        <v>726096.01</v>
      </c>
      <c r="C93" s="209">
        <v>863363.16</v>
      </c>
      <c r="D93" s="209">
        <f t="shared" si="4"/>
        <v>-137267.15000000002</v>
      </c>
    </row>
    <row r="94" spans="1:4" x14ac:dyDescent="0.25">
      <c r="A94" s="209" t="s">
        <v>51</v>
      </c>
      <c r="B94" s="209">
        <v>16904412.780000001</v>
      </c>
      <c r="C94" s="209">
        <v>17609687.100000001</v>
      </c>
      <c r="D94" s="209">
        <f t="shared" si="4"/>
        <v>-705274.3200000003</v>
      </c>
    </row>
    <row r="95" spans="1:4" x14ac:dyDescent="0.25">
      <c r="A95" s="209" t="s">
        <v>13</v>
      </c>
      <c r="B95" s="209">
        <v>7843797.9399999995</v>
      </c>
      <c r="C95" s="209">
        <v>8847212.5500000007</v>
      </c>
      <c r="D95" s="209">
        <f t="shared" si="4"/>
        <v>-1003414.6100000013</v>
      </c>
    </row>
    <row r="96" spans="1:4" x14ac:dyDescent="0.25">
      <c r="A96" s="209" t="s">
        <v>31</v>
      </c>
      <c r="B96" s="209">
        <v>12263659.08</v>
      </c>
      <c r="C96" s="209">
        <v>11590493.5</v>
      </c>
      <c r="D96" s="209">
        <f t="shared" si="4"/>
        <v>673165.58000000007</v>
      </c>
    </row>
    <row r="97" spans="1:4" x14ac:dyDescent="0.25">
      <c r="A97" s="209" t="s">
        <v>28</v>
      </c>
      <c r="B97" s="209">
        <v>1401513.22</v>
      </c>
      <c r="C97" s="209">
        <v>1403451.52</v>
      </c>
      <c r="D97" s="209">
        <f t="shared" si="4"/>
        <v>-1938.3000000000466</v>
      </c>
    </row>
    <row r="98" spans="1:4" x14ac:dyDescent="0.25">
      <c r="A98" s="209" t="s">
        <v>25</v>
      </c>
      <c r="B98" s="209">
        <v>8616546.5099999998</v>
      </c>
      <c r="C98" s="209">
        <v>8994469.7599999998</v>
      </c>
      <c r="D98" s="209">
        <f t="shared" si="4"/>
        <v>-377923.25</v>
      </c>
    </row>
    <row r="99" spans="1:4" x14ac:dyDescent="0.25">
      <c r="A99" s="209" t="s">
        <v>47</v>
      </c>
      <c r="B99" s="209">
        <v>4939829.34</v>
      </c>
      <c r="C99" s="209">
        <v>5282352.57</v>
      </c>
      <c r="D99" s="209">
        <f t="shared" si="4"/>
        <v>-342523.23000000045</v>
      </c>
    </row>
    <row r="100" spans="1:4" x14ac:dyDescent="0.25">
      <c r="A100" s="209" t="s">
        <v>43</v>
      </c>
      <c r="B100" s="209">
        <v>5017843.2699999996</v>
      </c>
      <c r="C100" s="209">
        <v>4714240.3000000007</v>
      </c>
      <c r="D100" s="209">
        <f t="shared" si="4"/>
        <v>303602.96999999881</v>
      </c>
    </row>
    <row r="101" spans="1:4" x14ac:dyDescent="0.25">
      <c r="A101" s="209" t="s">
        <v>36</v>
      </c>
      <c r="B101" s="209">
        <v>10146633.530000001</v>
      </c>
      <c r="C101" s="209">
        <v>10428533.609999999</v>
      </c>
      <c r="D101" s="209">
        <f t="shared" si="4"/>
        <v>-281900.07999999821</v>
      </c>
    </row>
    <row r="102" spans="1:4" x14ac:dyDescent="0.25">
      <c r="A102" s="209" t="s">
        <v>50</v>
      </c>
      <c r="B102" s="209">
        <v>5638389.4799999995</v>
      </c>
      <c r="C102" s="209">
        <v>5679529.8499999996</v>
      </c>
      <c r="D102" s="209">
        <f t="shared" si="4"/>
        <v>-41140.370000000112</v>
      </c>
    </row>
    <row r="103" spans="1:4" x14ac:dyDescent="0.25">
      <c r="A103" s="209" t="s">
        <v>8</v>
      </c>
      <c r="B103" s="209">
        <v>9390739.8100000005</v>
      </c>
      <c r="C103" s="209">
        <v>9570422.3900000006</v>
      </c>
      <c r="D103" s="209">
        <f t="shared" si="4"/>
        <v>-179682.58000000007</v>
      </c>
    </row>
    <row r="104" spans="1:4" x14ac:dyDescent="0.25">
      <c r="A104" s="209" t="s">
        <v>23</v>
      </c>
      <c r="B104" s="209">
        <v>1628614.66</v>
      </c>
      <c r="C104" s="209">
        <v>1892477.35</v>
      </c>
      <c r="D104" s="209">
        <f t="shared" si="4"/>
        <v>-263862.69000000018</v>
      </c>
    </row>
    <row r="105" spans="1:4" x14ac:dyDescent="0.25">
      <c r="A105" s="209" t="s">
        <v>9</v>
      </c>
      <c r="B105" s="209">
        <v>15124197.27</v>
      </c>
      <c r="C105" s="209">
        <v>13471968.370000001</v>
      </c>
      <c r="D105" s="209">
        <f t="shared" si="4"/>
        <v>1652228.8999999985</v>
      </c>
    </row>
    <row r="106" spans="1:4" x14ac:dyDescent="0.25">
      <c r="A106" s="209" t="s">
        <v>61</v>
      </c>
      <c r="B106" s="209">
        <v>5728689.8200000003</v>
      </c>
      <c r="C106" s="209">
        <v>6026726</v>
      </c>
      <c r="D106" s="209">
        <f t="shared" si="4"/>
        <v>-298036.1799999997</v>
      </c>
    </row>
    <row r="107" spans="1:4" x14ac:dyDescent="0.25">
      <c r="A107" s="209" t="s">
        <v>45</v>
      </c>
      <c r="B107" s="209">
        <v>0</v>
      </c>
      <c r="C107" s="209">
        <v>649792.4</v>
      </c>
      <c r="D107" s="209">
        <f t="shared" si="4"/>
        <v>-649792.4</v>
      </c>
    </row>
    <row r="108" spans="1:4" x14ac:dyDescent="0.25">
      <c r="A108" s="209" t="s">
        <v>850</v>
      </c>
      <c r="B108" s="209">
        <v>772969.42999999993</v>
      </c>
      <c r="C108" s="209">
        <v>0</v>
      </c>
      <c r="D108" s="209">
        <f t="shared" si="4"/>
        <v>772969.42999999993</v>
      </c>
    </row>
    <row r="109" spans="1:4" x14ac:dyDescent="0.25">
      <c r="A109" s="209" t="s">
        <v>34</v>
      </c>
      <c r="B109" s="209">
        <v>1947668.93</v>
      </c>
      <c r="C109" s="209">
        <v>2023842.33</v>
      </c>
      <c r="D109" s="209">
        <f t="shared" si="4"/>
        <v>-76173.40000000014</v>
      </c>
    </row>
    <row r="110" spans="1:4" x14ac:dyDescent="0.25">
      <c r="A110" s="209" t="s">
        <v>48</v>
      </c>
      <c r="B110" s="209">
        <v>19230755.620000001</v>
      </c>
      <c r="C110" s="209">
        <v>19520581.41</v>
      </c>
      <c r="D110" s="209">
        <f t="shared" si="4"/>
        <v>-289825.78999999911</v>
      </c>
    </row>
    <row r="111" spans="1:4" x14ac:dyDescent="0.25">
      <c r="A111" s="209" t="s">
        <v>46</v>
      </c>
      <c r="B111" s="209">
        <v>3159146.96</v>
      </c>
      <c r="C111" s="209">
        <v>3023471.06</v>
      </c>
      <c r="D111" s="209">
        <f t="shared" si="4"/>
        <v>135675.89999999991</v>
      </c>
    </row>
    <row r="112" spans="1:4" x14ac:dyDescent="0.25">
      <c r="A112" s="209" t="s">
        <v>57</v>
      </c>
      <c r="B112" s="209">
        <v>10495924.960000001</v>
      </c>
      <c r="C112" s="209">
        <v>10935065.559999999</v>
      </c>
      <c r="D112" s="209">
        <f t="shared" si="4"/>
        <v>-439140.59999999776</v>
      </c>
    </row>
    <row r="113" spans="1:7" x14ac:dyDescent="0.25">
      <c r="A113" s="209" t="s">
        <v>49</v>
      </c>
      <c r="B113" s="209">
        <v>0</v>
      </c>
      <c r="C113" s="209">
        <v>142500</v>
      </c>
      <c r="D113" s="209">
        <f t="shared" si="4"/>
        <v>-142500</v>
      </c>
    </row>
    <row r="114" spans="1:7" x14ac:dyDescent="0.25">
      <c r="A114" s="209" t="s">
        <v>15</v>
      </c>
      <c r="B114" s="209">
        <v>71272475.480000004</v>
      </c>
      <c r="C114" s="209">
        <v>69546558.280000001</v>
      </c>
      <c r="D114" s="209">
        <f t="shared" si="4"/>
        <v>1725917.200000003</v>
      </c>
    </row>
    <row r="115" spans="1:7" x14ac:dyDescent="0.25">
      <c r="A115" s="209" t="s">
        <v>24</v>
      </c>
      <c r="B115" s="209">
        <v>4530485.67</v>
      </c>
      <c r="C115" s="209">
        <v>3987825.17</v>
      </c>
      <c r="D115" s="209">
        <f t="shared" si="4"/>
        <v>542660.5</v>
      </c>
    </row>
    <row r="116" spans="1:7" x14ac:dyDescent="0.25">
      <c r="B116" s="209">
        <f>SUM(B62:B115)</f>
        <v>615713666.37000012</v>
      </c>
      <c r="C116" s="209">
        <f>SUM(C62:C115)</f>
        <v>612336937.83000004</v>
      </c>
    </row>
    <row r="118" spans="1:7" x14ac:dyDescent="0.25">
      <c r="A118" s="209" t="s">
        <v>839</v>
      </c>
      <c r="D118" s="209">
        <f>D62+D66+D69+D72+D75+D78+D92+D96+D100+D105+D108+D111+D114+D115</f>
        <v>17515798.18</v>
      </c>
    </row>
    <row r="119" spans="1:7" x14ac:dyDescent="0.25">
      <c r="A119" s="209" t="s">
        <v>840</v>
      </c>
      <c r="D119" s="209">
        <f>D63+D64+D65+D67+D68+D71+D73+D74+D76+D77+D79+D80+D81+D82+D83+D84+D85+D86+D87+D88+D89+D90+D91+D93+D94+D95+D97+D98+D99+D101+D103+D104+D106+D107+D109+D110+D112+D113+D102</f>
        <v>-14183540.219999999</v>
      </c>
    </row>
    <row r="120" spans="1:7" x14ac:dyDescent="0.25">
      <c r="D120" s="209">
        <f>D118+D119</f>
        <v>3332257.9600000009</v>
      </c>
      <c r="G120">
        <v>3417868.91</v>
      </c>
    </row>
    <row r="121" spans="1:7" x14ac:dyDescent="0.25">
      <c r="G121" s="209">
        <f>G120-D120</f>
        <v>85610.949999999255</v>
      </c>
    </row>
    <row r="123" spans="1:7" x14ac:dyDescent="0.25">
      <c r="A123" t="s">
        <v>889</v>
      </c>
      <c r="B123" s="209">
        <f>D70+D78+D92</f>
        <v>84798.800000000047</v>
      </c>
    </row>
    <row r="124" spans="1:7" x14ac:dyDescent="0.25">
      <c r="A124" t="s">
        <v>890</v>
      </c>
      <c r="B124" s="209">
        <f>D75+D100+D111</f>
        <v>730958.11999999825</v>
      </c>
    </row>
    <row r="125" spans="1:7" x14ac:dyDescent="0.25">
      <c r="A125" t="s">
        <v>891</v>
      </c>
      <c r="B125" s="209">
        <f>D62+D72+D96+D108+D115</f>
        <v>3789166.0400000028</v>
      </c>
    </row>
    <row r="126" spans="1:7" x14ac:dyDescent="0.25">
      <c r="A126" t="s">
        <v>892</v>
      </c>
      <c r="B126" s="209">
        <f>D66+D69+D105+D114</f>
        <v>12955345.799999997</v>
      </c>
    </row>
    <row r="127" spans="1:7" x14ac:dyDescent="0.25">
      <c r="B127" s="209">
        <f>SUM(B123:B126)</f>
        <v>17560268.759999998</v>
      </c>
    </row>
  </sheetData>
  <mergeCells count="6">
    <mergeCell ref="B1:E1"/>
    <mergeCell ref="L1:P1"/>
    <mergeCell ref="R1:V1"/>
    <mergeCell ref="X2:Z2"/>
    <mergeCell ref="X10:Z10"/>
    <mergeCell ref="G1:J1"/>
  </mergeCells>
  <pageMargins left="0.7" right="0.7" top="0.75" bottom="0.75" header="0.3" footer="0.3"/>
  <pageSetup paperSize="8" scale="2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7" t="s">
        <v>629</v>
      </c>
      <c r="B14" s="228"/>
      <c r="C14" s="228"/>
      <c r="D14" s="228"/>
      <c r="E14" s="228"/>
      <c r="F14" s="228"/>
      <c r="G14" s="228"/>
      <c r="H14" s="229"/>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7" t="s">
        <v>641</v>
      </c>
      <c r="B24" s="228"/>
      <c r="C24" s="228"/>
      <c r="D24" s="228"/>
      <c r="E24" s="228"/>
      <c r="F24" s="228"/>
      <c r="G24" s="228"/>
      <c r="H24" s="229"/>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7" t="s">
        <v>648</v>
      </c>
      <c r="B32" s="228"/>
      <c r="C32" s="228"/>
      <c r="D32" s="228"/>
      <c r="E32" s="228"/>
      <c r="F32" s="228"/>
      <c r="G32" s="228"/>
      <c r="H32" s="229"/>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7" t="s">
        <v>658</v>
      </c>
      <c r="B42" s="228"/>
      <c r="C42" s="228"/>
      <c r="D42" s="228"/>
      <c r="E42" s="228"/>
      <c r="F42" s="228"/>
      <c r="G42" s="228"/>
      <c r="H42" s="229"/>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7" t="s">
        <v>668</v>
      </c>
      <c r="B53" s="228"/>
      <c r="C53" s="228"/>
      <c r="D53" s="228"/>
      <c r="E53" s="228"/>
      <c r="F53" s="228"/>
      <c r="G53" s="228"/>
      <c r="H53" s="229"/>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7" t="s">
        <v>676</v>
      </c>
      <c r="B62" s="228"/>
      <c r="C62" s="228"/>
      <c r="D62" s="228"/>
      <c r="E62" s="228"/>
      <c r="F62" s="228"/>
      <c r="G62" s="228"/>
      <c r="H62" s="229"/>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7" t="s">
        <v>685</v>
      </c>
      <c r="B71" s="228"/>
      <c r="C71" s="228"/>
      <c r="D71" s="228"/>
      <c r="E71" s="228"/>
      <c r="F71" s="228"/>
      <c r="G71" s="228"/>
      <c r="H71" s="229"/>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7" t="s">
        <v>697</v>
      </c>
      <c r="B81" s="228"/>
      <c r="C81" s="228"/>
      <c r="D81" s="228"/>
      <c r="E81" s="228"/>
      <c r="F81" s="228"/>
      <c r="G81" s="228"/>
      <c r="H81" s="229"/>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7" t="s">
        <v>704</v>
      </c>
      <c r="B89" s="228"/>
      <c r="C89" s="228"/>
      <c r="D89" s="228"/>
      <c r="E89" s="228"/>
      <c r="F89" s="228"/>
      <c r="G89" s="228"/>
      <c r="H89" s="229"/>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7" t="s">
        <v>712</v>
      </c>
      <c r="B98" s="228"/>
      <c r="C98" s="228"/>
      <c r="D98" s="228"/>
      <c r="E98" s="228"/>
      <c r="F98" s="228"/>
      <c r="G98" s="228"/>
      <c r="H98" s="229"/>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2665919.1399999997</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350151521.93000001</v>
      </c>
      <c r="BE6" s="19">
        <f>'5. Bilan 2023'!BF6</f>
        <v>159811338.44000003</v>
      </c>
      <c r="BF6" s="19">
        <f>'5. Bilan 2023'!BG6</f>
        <v>73055839.350000009</v>
      </c>
      <c r="BG6" s="19">
        <f>'5. Bilan 2023'!BH6</f>
        <v>117284344.14000003</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6179743.5200000005</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649769652.11999989</v>
      </c>
      <c r="BE9" s="135">
        <f>'5. Bilan 2023'!BF122</f>
        <v>360603444.75</v>
      </c>
      <c r="BF9" s="135">
        <f>'5. Bilan 2023'!BG122</f>
        <v>65409225.380000003</v>
      </c>
      <c r="BG9" s="135">
        <f>'5. Bilan 2023'!BH122</f>
        <v>223756981.98999998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1281127.6599999999</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38435133.920000002</v>
      </c>
      <c r="BE10" s="19">
        <f>'5. Bilan 2023'!BF123</f>
        <v>22207179.450000003</v>
      </c>
      <c r="BF10" s="19">
        <f>'5. Bilan 2023'!BG123</f>
        <v>6714531.5799999991</v>
      </c>
      <c r="BG10" s="19">
        <f>'5. Bilan 2023'!BH123</f>
        <v>9513422.8899999987</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387420.33999999997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106301675.50000003</v>
      </c>
      <c r="BE11" s="19">
        <f>'5. Bilan 2023'!BF133</f>
        <v>78328970.630000025</v>
      </c>
      <c r="BF11" s="19">
        <f>'5. Bilan 2023'!BG133</f>
        <v>6643684.2599999998</v>
      </c>
      <c r="BG11" s="19">
        <f>'5. Bilan 2023'!BH133</f>
        <v>21329020.610000003</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4471930.95</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471478946.4199999</v>
      </c>
      <c r="BE13" s="19">
        <f>'5. Bilan 2023'!BF165</f>
        <v>247424808.08000001</v>
      </c>
      <c r="BF13" s="19">
        <f>'5. Bilan 2023'!BG165</f>
        <v>38340198.609999999</v>
      </c>
      <c r="BG13" s="19">
        <f>'5. Bilan 2023'!BH165</f>
        <v>185713939.73000002</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1858440.82</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292997984.72000009</v>
      </c>
      <c r="BE14" s="19">
        <f>'5. Bilan 2023'!BF190</f>
        <v>103472272.33999999</v>
      </c>
      <c r="BF14" s="19">
        <f>'5. Bilan 2023'!BG190</f>
        <v>82282614.670000002</v>
      </c>
      <c r="BG14" s="19">
        <f>'5. Bilan 2023'!BH190</f>
        <v>107243097.70999998</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188790.47999999998</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107747885.65000004</v>
      </c>
      <c r="BE15" s="19">
        <f>'5. Bilan 2023'!BF216</f>
        <v>18519776.409999996</v>
      </c>
      <c r="BF15" s="19">
        <f>'5. Bilan 2023'!BG216</f>
        <v>43032996.629999995</v>
      </c>
      <c r="BG15" s="19">
        <f>'5. Bilan 2023'!BH216</f>
        <v>46195112.609999992</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11"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30" t="s">
        <v>488</v>
      </c>
      <c r="B1" s="230"/>
      <c r="C1" s="230"/>
      <c r="D1" s="230"/>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row>
    <row r="6" spans="1:60"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row>
    <row r="7" spans="1:60" ht="15" thickBot="1" x14ac:dyDescent="0.25">
      <c r="A7" s="161"/>
      <c r="B7" s="162"/>
      <c r="C7" s="161"/>
      <c r="D7" s="163"/>
      <c r="BD7" s="13"/>
      <c r="BE7" s="13"/>
      <c r="BF7" s="13"/>
    </row>
    <row r="8" spans="1:60"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139.53493192259475</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187.09813980650426</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146.37667008210963</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38435133.920000002</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1281127.6599999999</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9513422.8899999987</v>
      </c>
    </row>
    <row r="25" spans="1:58" x14ac:dyDescent="0.2">
      <c r="A25" s="158" t="s">
        <v>250</v>
      </c>
      <c r="B25" s="159" t="s">
        <v>221</v>
      </c>
      <c r="C25" s="158">
        <v>201</v>
      </c>
      <c r="D25" s="160">
        <f>'Base de données indicateurs1'!BD11</f>
        <v>106301675.50000003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387420.33999999997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21329020.610000003</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471478946.4199999</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4471930.95</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185713939.73000002</v>
      </c>
    </row>
    <row r="28" spans="1:58" ht="15" thickBot="1" x14ac:dyDescent="0.25">
      <c r="B28" s="165"/>
      <c r="D28" s="13"/>
      <c r="BD28" s="13"/>
      <c r="BE28" s="13"/>
      <c r="BF28" s="13"/>
    </row>
    <row r="29" spans="1:58" ht="15.75" thickBot="1" x14ac:dyDescent="0.3">
      <c r="A29" s="7" t="s">
        <v>517</v>
      </c>
      <c r="B29" s="108"/>
      <c r="C29" s="7"/>
      <c r="D29" s="164">
        <f>SUM(D24:D25,D27)-D26</f>
        <v>616215755.83999991</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6140478.9500000002</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216556383.22999999</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143.16231083318283</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193.9859980202335</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164.36208892911165</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30" t="s">
        <v>488</v>
      </c>
      <c r="B1" s="230"/>
      <c r="C1" s="230"/>
      <c r="D1" s="230"/>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30" t="s">
        <v>488</v>
      </c>
      <c r="B1" s="230"/>
      <c r="C1" s="230"/>
      <c r="D1" s="230"/>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c r="BI5" s="13"/>
    </row>
    <row r="6" spans="1:61"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c r="BI6" s="13"/>
    </row>
    <row r="7" spans="1:61" ht="15" thickBot="1" x14ac:dyDescent="0.25">
      <c r="A7" s="161"/>
      <c r="B7" s="162"/>
      <c r="C7" s="161"/>
      <c r="D7" s="163"/>
      <c r="BD7" s="13"/>
      <c r="BE7" s="13"/>
      <c r="BF7" s="13"/>
      <c r="BI7" s="13"/>
    </row>
    <row r="8" spans="1:61"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4019.1303615120441</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4873.5428294036074</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4371.3362832040066</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30" t="s">
        <v>488</v>
      </c>
      <c r="B2" s="230"/>
      <c r="C2" s="230"/>
      <c r="D2" s="230"/>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107747885.65000004</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188790.47999999998</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46195112.609999992</v>
      </c>
      <c r="BI6" s="13"/>
    </row>
    <row r="7" spans="1:61" ht="15" thickBot="1" x14ac:dyDescent="0.25">
      <c r="A7" s="161"/>
      <c r="B7" s="162"/>
      <c r="C7" s="161"/>
      <c r="D7" s="163"/>
      <c r="BD7" s="13"/>
      <c r="BE7" s="13"/>
      <c r="BF7" s="13"/>
      <c r="BI7" s="13"/>
    </row>
    <row r="8" spans="1:61" ht="15.75" thickBot="1" x14ac:dyDescent="0.3">
      <c r="A8" s="7" t="s">
        <v>553</v>
      </c>
      <c r="B8" s="108"/>
      <c r="C8" s="7"/>
      <c r="D8" s="164">
        <f>D6</f>
        <v>107747885.65000004</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188790.47999999998</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46195112.609999992</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50.179186017355626</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10.052394144176619</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63.508211071525281</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30" t="s">
        <v>488</v>
      </c>
      <c r="B6" s="230"/>
      <c r="C6" s="230"/>
      <c r="D6" s="230"/>
    </row>
    <row r="7" spans="1:58" ht="15" thickBot="1" x14ac:dyDescent="0.25"/>
    <row r="8" spans="1:58" ht="15.75" thickBot="1" x14ac:dyDescent="0.3">
      <c r="A8" s="231" t="s">
        <v>556</v>
      </c>
      <c r="B8" s="232"/>
      <c r="C8" s="232"/>
      <c r="D8" s="233"/>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616215755.83999991</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6140478.9500000002</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216556383.22999999</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299618130.18999988</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3513824.3800000008</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106472637.84999999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139.53493192259475</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187.09813980650426</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2057.4029511778485</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143.16231083318283</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193.9859980202335</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3226.3141583954612</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4019.1303615120441</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4873.5428294036074</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51352.578879850087</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50.179186017355626</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10.052394144176619</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1966.7275765230429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30"/>
      <c r="B1" s="230"/>
      <c r="C1" s="230"/>
      <c r="D1" s="230"/>
    </row>
    <row r="2" spans="1:8" ht="18" x14ac:dyDescent="0.25">
      <c r="A2" s="237" t="s">
        <v>879</v>
      </c>
      <c r="B2" s="237"/>
      <c r="C2" s="237"/>
      <c r="D2" s="237"/>
      <c r="E2" s="230"/>
      <c r="F2" s="230"/>
      <c r="G2" s="230"/>
      <c r="H2" s="230"/>
    </row>
    <row r="3" spans="1:8" ht="18" x14ac:dyDescent="0.25">
      <c r="A3" s="187"/>
      <c r="B3" s="187"/>
      <c r="C3" s="187"/>
      <c r="D3" s="187"/>
      <c r="E3" s="187"/>
      <c r="F3" s="187"/>
      <c r="G3" s="187"/>
      <c r="H3" s="187"/>
    </row>
    <row r="4" spans="1:8" ht="15" thickBot="1" x14ac:dyDescent="0.25">
      <c r="B4" s="238" t="s">
        <v>774</v>
      </c>
      <c r="C4" s="238"/>
      <c r="D4" s="238"/>
    </row>
    <row r="5" spans="1:8" ht="15.75" thickBot="1" x14ac:dyDescent="0.3">
      <c r="A5" s="29" t="s">
        <v>563</v>
      </c>
      <c r="B5" s="222" t="s">
        <v>23</v>
      </c>
      <c r="C5" s="223"/>
      <c r="D5" s="224"/>
      <c r="F5" s="154"/>
    </row>
    <row r="6" spans="1:8" ht="15.75" thickBot="1" x14ac:dyDescent="0.3">
      <c r="E6" s="7"/>
      <c r="H6" s="161"/>
    </row>
    <row r="7" spans="1:8" ht="15.75" thickBot="1" x14ac:dyDescent="0.3">
      <c r="A7" s="234" t="s">
        <v>556</v>
      </c>
      <c r="B7" s="235"/>
      <c r="C7" s="235"/>
      <c r="D7" s="236"/>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5" t="s">
        <v>736</v>
      </c>
      <c r="C5" s="225"/>
      <c r="D5" s="225"/>
    </row>
    <row r="6" spans="1:5" ht="15.75" thickBot="1" x14ac:dyDescent="0.3">
      <c r="B6" s="222" t="s">
        <v>56</v>
      </c>
      <c r="C6" s="223"/>
      <c r="D6" s="224"/>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61"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2024-09-19T11:15:59Z</cp:lastPrinted>
  <dcterms:created xsi:type="dcterms:W3CDTF">2015-10-26T07:38:03Z</dcterms:created>
  <dcterms:modified xsi:type="dcterms:W3CDTF">2024-09-19T12:07:20Z</dcterms:modified>
</cp:coreProperties>
</file>